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TELessons\Bridges\Lesson-Activity\"/>
    </mc:Choice>
  </mc:AlternateContent>
  <bookViews>
    <workbookView xWindow="0" yWindow="0" windowWidth="24000" windowHeight="10320" activeTab="4"/>
  </bookViews>
  <sheets>
    <sheet name="Wood-Cost" sheetId="1" r:id="rId1"/>
    <sheet name="Warren" sheetId="2" r:id="rId2"/>
    <sheet name="Warren w-Verticals" sheetId="3" r:id="rId3"/>
    <sheet name="Pratt" sheetId="4" r:id="rId4"/>
    <sheet name="Howe" sheetId="5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7" i="5" l="1"/>
  <c r="J17" i="5"/>
  <c r="J13" i="5"/>
  <c r="I13" i="5"/>
  <c r="M12" i="5"/>
  <c r="J12" i="5"/>
  <c r="I12" i="5"/>
  <c r="M11" i="5"/>
  <c r="J11" i="5"/>
  <c r="M10" i="5"/>
  <c r="J10" i="5"/>
  <c r="I10" i="5"/>
  <c r="I11" i="5" s="1"/>
  <c r="M9" i="5"/>
  <c r="J9" i="5"/>
  <c r="M8" i="5"/>
  <c r="J8" i="5"/>
  <c r="I8" i="5"/>
  <c r="I9" i="5" s="1"/>
  <c r="M6" i="5"/>
  <c r="J13" i="4"/>
  <c r="J12" i="4"/>
  <c r="J11" i="4"/>
  <c r="J10" i="4"/>
  <c r="J9" i="4"/>
  <c r="J8" i="4"/>
  <c r="I8" i="4"/>
  <c r="I10" i="4"/>
  <c r="K17" i="4"/>
  <c r="J17" i="4"/>
  <c r="I13" i="4"/>
  <c r="M12" i="4"/>
  <c r="I12" i="4"/>
  <c r="M11" i="4"/>
  <c r="M10" i="4"/>
  <c r="M9" i="4"/>
  <c r="M8" i="4"/>
  <c r="M6" i="4"/>
  <c r="H12" i="2"/>
  <c r="I13" i="3"/>
  <c r="I12" i="3"/>
  <c r="J13" i="3"/>
  <c r="J12" i="3"/>
  <c r="J11" i="3"/>
  <c r="M9" i="3"/>
  <c r="J9" i="3"/>
  <c r="K17" i="3"/>
  <c r="J17" i="3"/>
  <c r="J10" i="3"/>
  <c r="I10" i="3"/>
  <c r="J8" i="3"/>
  <c r="I8" i="3"/>
  <c r="I9" i="3" s="1"/>
  <c r="M6" i="3"/>
  <c r="M11" i="3" s="1"/>
  <c r="I12" i="2"/>
  <c r="H28" i="1"/>
  <c r="M13" i="4" s="1"/>
  <c r="H27" i="1"/>
  <c r="M13" i="5" s="1"/>
  <c r="H26" i="1"/>
  <c r="L12" i="2" l="1"/>
  <c r="M17" i="3"/>
  <c r="M17" i="4"/>
  <c r="M17" i="5"/>
  <c r="M13" i="3"/>
  <c r="N13" i="3" s="1"/>
  <c r="M12" i="2"/>
  <c r="L17" i="5"/>
  <c r="K12" i="3"/>
  <c r="L12" i="3" s="1"/>
  <c r="K9" i="3"/>
  <c r="L9" i="3" s="1"/>
  <c r="N9" i="3" s="1"/>
  <c r="K12" i="5"/>
  <c r="L12" i="5" s="1"/>
  <c r="N12" i="5" s="1"/>
  <c r="N13" i="5"/>
  <c r="K9" i="5"/>
  <c r="L9" i="5" s="1"/>
  <c r="N9" i="5" s="1"/>
  <c r="K11" i="5"/>
  <c r="L11" i="5" s="1"/>
  <c r="N11" i="5" s="1"/>
  <c r="K8" i="5"/>
  <c r="L8" i="5" s="1"/>
  <c r="N8" i="5" s="1"/>
  <c r="K10" i="5"/>
  <c r="L10" i="5" s="1"/>
  <c r="N10" i="5" s="1"/>
  <c r="I9" i="4"/>
  <c r="I11" i="4"/>
  <c r="K11" i="4" s="1"/>
  <c r="L11" i="4" s="1"/>
  <c r="N11" i="4" s="1"/>
  <c r="L17" i="4"/>
  <c r="K12" i="4"/>
  <c r="L12" i="4" s="1"/>
  <c r="N12" i="4" s="1"/>
  <c r="N13" i="4"/>
  <c r="K9" i="4"/>
  <c r="L9" i="4" s="1"/>
  <c r="N9" i="4" s="1"/>
  <c r="K8" i="4"/>
  <c r="L8" i="4" s="1"/>
  <c r="N8" i="4" s="1"/>
  <c r="K10" i="4"/>
  <c r="L10" i="4" s="1"/>
  <c r="N10" i="4" s="1"/>
  <c r="I11" i="3"/>
  <c r="K11" i="3" s="1"/>
  <c r="L11" i="3" s="1"/>
  <c r="N11" i="3" s="1"/>
  <c r="M10" i="3"/>
  <c r="M12" i="3"/>
  <c r="L17" i="3"/>
  <c r="K8" i="3"/>
  <c r="L8" i="3" s="1"/>
  <c r="M8" i="3"/>
  <c r="K10" i="3"/>
  <c r="L10" i="3" s="1"/>
  <c r="L16" i="2"/>
  <c r="I16" i="2"/>
  <c r="H11" i="2"/>
  <c r="J16" i="2"/>
  <c r="L9" i="2"/>
  <c r="I10" i="2"/>
  <c r="L11" i="2"/>
  <c r="I11" i="2"/>
  <c r="I9" i="2"/>
  <c r="H9" i="2"/>
  <c r="I8" i="2"/>
  <c r="H8" i="2"/>
  <c r="L6" i="2"/>
  <c r="L10" i="2" s="1"/>
  <c r="K17" i="1"/>
  <c r="L17" i="1"/>
  <c r="K18" i="1"/>
  <c r="L18" i="1"/>
  <c r="K19" i="1"/>
  <c r="L19" i="1"/>
  <c r="K20" i="1"/>
  <c r="L20" i="1"/>
  <c r="K21" i="1"/>
  <c r="L21" i="1"/>
  <c r="K22" i="1"/>
  <c r="L22" i="1"/>
  <c r="L16" i="1"/>
  <c r="K16" i="1"/>
  <c r="K6" i="1"/>
  <c r="L6" i="1"/>
  <c r="K7" i="1"/>
  <c r="L7" i="1"/>
  <c r="K8" i="1"/>
  <c r="L8" i="1"/>
  <c r="K9" i="1"/>
  <c r="L9" i="1"/>
  <c r="K10" i="1"/>
  <c r="L10" i="1"/>
  <c r="K11" i="1"/>
  <c r="L11" i="1"/>
  <c r="L5" i="1"/>
  <c r="K5" i="1"/>
  <c r="G17" i="1"/>
  <c r="H17" i="1"/>
  <c r="G18" i="1"/>
  <c r="H18" i="1"/>
  <c r="G19" i="1"/>
  <c r="H19" i="1"/>
  <c r="G20" i="1"/>
  <c r="H20" i="1"/>
  <c r="G21" i="1"/>
  <c r="H21" i="1"/>
  <c r="G22" i="1"/>
  <c r="H22" i="1"/>
  <c r="H16" i="1"/>
  <c r="G16" i="1"/>
  <c r="G6" i="1"/>
  <c r="H6" i="1"/>
  <c r="G7" i="1"/>
  <c r="H7" i="1"/>
  <c r="G8" i="1"/>
  <c r="H8" i="1"/>
  <c r="G9" i="1"/>
  <c r="H9" i="1"/>
  <c r="G10" i="1"/>
  <c r="H10" i="1"/>
  <c r="G11" i="1"/>
  <c r="H11" i="1"/>
  <c r="H5" i="1"/>
  <c r="G5" i="1"/>
  <c r="C17" i="1"/>
  <c r="D17" i="1"/>
  <c r="C18" i="1"/>
  <c r="D18" i="1"/>
  <c r="C19" i="1"/>
  <c r="D19" i="1"/>
  <c r="C20" i="1"/>
  <c r="D20" i="1"/>
  <c r="C21" i="1"/>
  <c r="D21" i="1"/>
  <c r="C22" i="1"/>
  <c r="D22" i="1"/>
  <c r="D16" i="1"/>
  <c r="C16" i="1"/>
  <c r="D6" i="1"/>
  <c r="D7" i="1"/>
  <c r="D8" i="1"/>
  <c r="D9" i="1"/>
  <c r="D10" i="1"/>
  <c r="D11" i="1"/>
  <c r="D5" i="1"/>
  <c r="C6" i="1"/>
  <c r="C7" i="1"/>
  <c r="C8" i="1"/>
  <c r="C9" i="1"/>
  <c r="C10" i="1"/>
  <c r="C11" i="1"/>
  <c r="C5" i="1"/>
  <c r="N17" i="3" l="1"/>
  <c r="N17" i="4"/>
  <c r="N17" i="5"/>
  <c r="N12" i="3"/>
  <c r="K16" i="2"/>
  <c r="M16" i="2" s="1"/>
  <c r="N14" i="5"/>
  <c r="N14" i="4"/>
  <c r="N8" i="3"/>
  <c r="N10" i="3"/>
  <c r="J9" i="2"/>
  <c r="K9" i="2" s="1"/>
  <c r="M9" i="2" s="1"/>
  <c r="J11" i="2"/>
  <c r="K11" i="2" s="1"/>
  <c r="M11" i="2" s="1"/>
  <c r="H10" i="2"/>
  <c r="J10" i="2" s="1"/>
  <c r="K10" i="2" s="1"/>
  <c r="M10" i="2" s="1"/>
  <c r="J8" i="2"/>
  <c r="K8" i="2" s="1"/>
  <c r="L8" i="2"/>
  <c r="N19" i="4" l="1"/>
  <c r="N19" i="5"/>
  <c r="N14" i="3"/>
  <c r="N19" i="3" s="1"/>
  <c r="M8" i="2"/>
  <c r="M13" i="2" s="1"/>
  <c r="M18" i="2" l="1"/>
</calcChain>
</file>

<file path=xl/sharedStrings.xml><?xml version="1.0" encoding="utf-8"?>
<sst xmlns="http://schemas.openxmlformats.org/spreadsheetml/2006/main" count="219" uniqueCount="70">
  <si>
    <t># Rails</t>
  </si>
  <si>
    <t>Braces</t>
  </si>
  <si>
    <t>Struts</t>
  </si>
  <si>
    <t>Diagonals</t>
  </si>
  <si>
    <t>Length</t>
  </si>
  <si>
    <t>Wood</t>
  </si>
  <si>
    <t>Woods</t>
  </si>
  <si>
    <t>Hardwood</t>
  </si>
  <si>
    <t>Poplar</t>
  </si>
  <si>
    <t>Basswood</t>
  </si>
  <si>
    <t>White Pine</t>
  </si>
  <si>
    <t>White Oak</t>
  </si>
  <si>
    <t>Birch</t>
  </si>
  <si>
    <t>Thickness</t>
  </si>
  <si>
    <t>Round</t>
  </si>
  <si>
    <t>Square</t>
  </si>
  <si>
    <t>36" Dowel Cost</t>
  </si>
  <si>
    <t>Warren Truss Bridge</t>
  </si>
  <si>
    <t>Overall Numbers</t>
  </si>
  <si>
    <t>Diagonals Shape</t>
  </si>
  <si>
    <t># Diagonals</t>
  </si>
  <si>
    <t># Struts + Gussets</t>
  </si>
  <si>
    <t>Spans</t>
  </si>
  <si>
    <t>Shapes</t>
  </si>
  <si>
    <t># Equilateral Triangles</t>
  </si>
  <si>
    <t>Thikcness</t>
  </si>
  <si>
    <t>Unit Cost</t>
  </si>
  <si>
    <t>Total</t>
  </si>
  <si>
    <t># Dowels</t>
  </si>
  <si>
    <t>Rails</t>
  </si>
  <si>
    <t>Quantity</t>
  </si>
  <si>
    <t>Total Length</t>
  </si>
  <si>
    <t>Unit cost</t>
  </si>
  <si>
    <t>Diagonal Thickness (in)</t>
  </si>
  <si>
    <t>Span (in)</t>
  </si>
  <si>
    <t># Equilateral Triangles in Truss</t>
  </si>
  <si>
    <t>Craft Sticks</t>
  </si>
  <si>
    <t>Craft</t>
  </si>
  <si>
    <t>Sticks</t>
  </si>
  <si>
    <t>3/4 X 6</t>
  </si>
  <si>
    <t>15/16 X 8</t>
  </si>
  <si>
    <t>Rails/Struts/Braces Thickness (in)</t>
  </si>
  <si>
    <t xml:space="preserve">Subtotal: </t>
  </si>
  <si>
    <t>Width</t>
  </si>
  <si>
    <t xml:space="preserve">Total </t>
  </si>
  <si>
    <t>Craft Stick Width</t>
  </si>
  <si>
    <t>Bridge Span</t>
  </si>
  <si>
    <t>3/8 X 4 1/2</t>
  </si>
  <si>
    <t>Bridge Deck Sticks</t>
  </si>
  <si>
    <t>Dimension</t>
  </si>
  <si>
    <t>Deck / Floor</t>
  </si>
  <si>
    <t xml:space="preserve">Grand Total: </t>
  </si>
  <si>
    <t>Length (in)</t>
  </si>
  <si>
    <t>Cost Estimation (in Bitcoins)</t>
  </si>
  <si>
    <t>Woods' Costs (in Bitcoins)</t>
  </si>
  <si>
    <t>Struts Sticks</t>
  </si>
  <si>
    <t>Warren with Verticals Truss Bridge</t>
  </si>
  <si>
    <t># Verticals</t>
  </si>
  <si>
    <t>Verticals</t>
  </si>
  <si>
    <t>Diagonal/ Verticals Thickness (in)</t>
  </si>
  <si>
    <t>--------</t>
  </si>
  <si>
    <t>-------</t>
  </si>
  <si>
    <t>Pratt Truss Bridge</t>
  </si>
  <si>
    <t># Rigth Triangles</t>
  </si>
  <si>
    <t># Right Triangles in Truss</t>
  </si>
  <si>
    <t>Howe Truss Bridge</t>
  </si>
  <si>
    <t># Dowels (*)</t>
  </si>
  <si>
    <t>(*) Based in a 36" dowel</t>
  </si>
  <si>
    <t>Diagonals / Verticals Shape</t>
  </si>
  <si>
    <t>Diagonals/ Verticals Shape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</si>
</sst>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฿-41E]#,##0.00"/>
  </numFmts>
  <fonts count="10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Arial Narrow"/>
      <family val="2"/>
    </font>
    <font>
      <b/>
      <sz val="14"/>
      <color theme="1"/>
      <name val="Arial Narrow"/>
      <family val="2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0" xfId="0" applyFont="1"/>
    <xf numFmtId="0" fontId="5" fillId="0" borderId="0" xfId="0" applyFont="1"/>
    <xf numFmtId="0" fontId="1" fillId="0" borderId="0" xfId="0" applyFont="1"/>
    <xf numFmtId="13" fontId="0" fillId="0" borderId="0" xfId="0" quotePrefix="1" applyNumberFormat="1"/>
    <xf numFmtId="3" fontId="0" fillId="0" borderId="0" xfId="0" applyNumberFormat="1"/>
    <xf numFmtId="0" fontId="0" fillId="0" borderId="0" xfId="0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center"/>
    </xf>
    <xf numFmtId="13" fontId="0" fillId="0" borderId="0" xfId="0" quotePrefix="1" applyNumberFormat="1" applyAlignment="1">
      <alignment horizontal="center"/>
    </xf>
    <xf numFmtId="13" fontId="0" fillId="0" borderId="0" xfId="0" quotePrefix="1" applyNumberFormat="1" applyAlignment="1">
      <alignment horizontal="left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0" xfId="0" applyFont="1"/>
    <xf numFmtId="0" fontId="0" fillId="0" borderId="0" xfId="0" applyNumberFormat="1"/>
    <xf numFmtId="2" fontId="0" fillId="0" borderId="0" xfId="0" applyNumberFormat="1" applyAlignment="1">
      <alignment horizontal="center"/>
    </xf>
    <xf numFmtId="4" fontId="0" fillId="0" borderId="0" xfId="0" applyNumberFormat="1"/>
    <xf numFmtId="13" fontId="0" fillId="0" borderId="0" xfId="0" applyNumberFormat="1" applyAlignment="1">
      <alignment horizontal="center"/>
    </xf>
    <xf numFmtId="4" fontId="2" fillId="0" borderId="0" xfId="0" applyNumberFormat="1" applyFont="1" applyAlignment="1">
      <alignment horizont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13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" fontId="0" fillId="0" borderId="0" xfId="0" applyNumberFormat="1" applyAlignment="1">
      <alignment horizontal="center" vertical="center"/>
    </xf>
    <xf numFmtId="13" fontId="0" fillId="0" borderId="0" xfId="0" quotePrefix="1" applyNumberFormat="1" applyAlignment="1">
      <alignment horizontal="center" vertical="center"/>
    </xf>
    <xf numFmtId="164" fontId="0" fillId="0" borderId="0" xfId="0" applyNumberFormat="1"/>
    <xf numFmtId="164" fontId="0" fillId="0" borderId="0" xfId="0" applyNumberFormat="1" applyAlignment="1">
      <alignment horizontal="center"/>
    </xf>
    <xf numFmtId="164" fontId="2" fillId="0" borderId="0" xfId="0" applyNumberFormat="1" applyFont="1" applyAlignment="1">
      <alignment horizontal="center"/>
    </xf>
    <xf numFmtId="164" fontId="0" fillId="0" borderId="0" xfId="0" applyNumberFormat="1" applyAlignment="1">
      <alignment horizontal="center" vertical="center"/>
    </xf>
    <xf numFmtId="2" fontId="0" fillId="0" borderId="0" xfId="0" applyNumberFormat="1" applyFill="1" applyAlignment="1">
      <alignment horizontal="center"/>
    </xf>
    <xf numFmtId="0" fontId="0" fillId="0" borderId="0" xfId="0" quotePrefix="1" applyFill="1" applyAlignment="1">
      <alignment horizontal="center"/>
    </xf>
    <xf numFmtId="2" fontId="0" fillId="0" borderId="0" xfId="0" quotePrefix="1" applyNumberFormat="1" applyFill="1" applyAlignment="1">
      <alignment horizontal="center"/>
    </xf>
    <xf numFmtId="4" fontId="9" fillId="0" borderId="0" xfId="0" quotePrefix="1" applyNumberFormat="1" applyFont="1" applyAlignment="1">
      <alignment horizontal="left" vertical="center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45"/>
  <sheetViews>
    <sheetView zoomScaleNormal="100" workbookViewId="0">
      <selection activeCell="D26" sqref="D26"/>
    </sheetView>
  </sheetViews>
  <sheetFormatPr defaultRowHeight="15" x14ac:dyDescent="0.25"/>
  <cols>
    <col min="2" max="2" width="9.7109375" customWidth="1"/>
    <col min="6" max="6" width="9.7109375" customWidth="1"/>
    <col min="10" max="10" width="9.7109375" customWidth="1"/>
    <col min="11" max="11" width="10" customWidth="1"/>
  </cols>
  <sheetData>
    <row r="1" spans="2:12" ht="33" customHeight="1" x14ac:dyDescent="0.25">
      <c r="B1" s="36" t="s">
        <v>54</v>
      </c>
      <c r="C1" s="36"/>
      <c r="D1" s="36"/>
      <c r="E1" s="36"/>
      <c r="F1" s="36"/>
      <c r="G1" s="36"/>
      <c r="H1" s="36"/>
      <c r="I1" s="36"/>
      <c r="J1" s="36"/>
      <c r="K1" s="36"/>
      <c r="L1" s="36"/>
    </row>
    <row r="2" spans="2:12" ht="18" x14ac:dyDescent="0.25">
      <c r="B2" s="38" t="s">
        <v>7</v>
      </c>
      <c r="C2" s="38"/>
      <c r="D2" s="38"/>
      <c r="F2" s="38" t="s">
        <v>9</v>
      </c>
      <c r="G2" s="38"/>
      <c r="H2" s="38"/>
      <c r="J2" s="38" t="s">
        <v>11</v>
      </c>
      <c r="K2" s="38"/>
      <c r="L2" s="38"/>
    </row>
    <row r="3" spans="2:12" ht="16.5" x14ac:dyDescent="0.3">
      <c r="B3">
        <v>3010</v>
      </c>
      <c r="C3" s="37" t="s">
        <v>16</v>
      </c>
      <c r="D3" s="37"/>
      <c r="F3" s="5">
        <v>4730</v>
      </c>
      <c r="G3" s="37" t="s">
        <v>16</v>
      </c>
      <c r="H3" s="37"/>
      <c r="J3" s="5">
        <v>7730</v>
      </c>
      <c r="K3" s="37" t="s">
        <v>16</v>
      </c>
      <c r="L3" s="37"/>
    </row>
    <row r="4" spans="2:12" ht="16.5" x14ac:dyDescent="0.3">
      <c r="B4" s="7" t="s">
        <v>13</v>
      </c>
      <c r="C4" s="8" t="s">
        <v>14</v>
      </c>
      <c r="D4" s="8" t="s">
        <v>15</v>
      </c>
      <c r="F4" s="8" t="s">
        <v>13</v>
      </c>
      <c r="G4" s="8" t="s">
        <v>14</v>
      </c>
      <c r="H4" s="8" t="s">
        <v>15</v>
      </c>
      <c r="J4" s="8" t="s">
        <v>13</v>
      </c>
      <c r="K4" s="8" t="s">
        <v>14</v>
      </c>
      <c r="L4" s="8" t="s">
        <v>15</v>
      </c>
    </row>
    <row r="5" spans="2:12" x14ac:dyDescent="0.25">
      <c r="B5" s="9">
        <v>0.125</v>
      </c>
      <c r="C5" s="27">
        <f>PI()*(0.5*B5)^2*3010</f>
        <v>36.938257372286238</v>
      </c>
      <c r="D5" s="27">
        <f>B5^2*3010</f>
        <v>47.03125</v>
      </c>
      <c r="F5" s="9">
        <v>0.125</v>
      </c>
      <c r="G5" s="27">
        <f>PI()*(0.5*F5)^2*4730</f>
        <v>58.045833013592663</v>
      </c>
      <c r="H5" s="27">
        <f>F5^2*4730</f>
        <v>73.90625</v>
      </c>
      <c r="J5" s="9">
        <v>0.125</v>
      </c>
      <c r="K5" s="27">
        <f>PI()*(0.5*J5)^2*7730</f>
        <v>94.861371922848051</v>
      </c>
      <c r="L5" s="27">
        <f>J5^2*7730</f>
        <v>120.78125</v>
      </c>
    </row>
    <row r="6" spans="2:12" x14ac:dyDescent="0.25">
      <c r="B6" s="9">
        <v>0.1875</v>
      </c>
      <c r="C6" s="27">
        <f t="shared" ref="C6:C11" si="0">PI()*(0.5*B6)^2*3010</f>
        <v>83.111079087644043</v>
      </c>
      <c r="D6" s="27">
        <f t="shared" ref="D6:D11" si="1">B6^2*3010</f>
        <v>105.8203125</v>
      </c>
      <c r="F6" s="9">
        <v>0.1875</v>
      </c>
      <c r="G6" s="27">
        <f t="shared" ref="G6:G11" si="2">PI()*(0.5*F6)^2*4730</f>
        <v>130.6031242805835</v>
      </c>
      <c r="H6" s="27">
        <f t="shared" ref="H6:H11" si="3">F6^2*4730</f>
        <v>166.2890625</v>
      </c>
      <c r="J6" s="9">
        <v>0.1875</v>
      </c>
      <c r="K6" s="27">
        <f t="shared" ref="K6:K11" si="4">PI()*(0.5*J6)^2*7730</f>
        <v>213.43808682640812</v>
      </c>
      <c r="L6" s="27">
        <f t="shared" ref="L6:L11" si="5">J6^2*7730</f>
        <v>271.7578125</v>
      </c>
    </row>
    <row r="7" spans="2:12" x14ac:dyDescent="0.25">
      <c r="B7" s="9">
        <v>0.25</v>
      </c>
      <c r="C7" s="27">
        <f t="shared" si="0"/>
        <v>147.75302948914495</v>
      </c>
      <c r="D7" s="27">
        <f t="shared" si="1"/>
        <v>188.125</v>
      </c>
      <c r="F7" s="9">
        <v>0.25</v>
      </c>
      <c r="G7" s="27">
        <f t="shared" si="2"/>
        <v>232.18333205437065</v>
      </c>
      <c r="H7" s="27">
        <f t="shared" si="3"/>
        <v>295.625</v>
      </c>
      <c r="J7" s="9">
        <v>0.25</v>
      </c>
      <c r="K7" s="27">
        <f t="shared" si="4"/>
        <v>379.4454876913922</v>
      </c>
      <c r="L7" s="27">
        <f t="shared" si="5"/>
        <v>483.125</v>
      </c>
    </row>
    <row r="8" spans="2:12" x14ac:dyDescent="0.25">
      <c r="B8" s="9">
        <v>0.3125</v>
      </c>
      <c r="C8" s="27">
        <f t="shared" si="0"/>
        <v>230.86410857678899</v>
      </c>
      <c r="D8" s="27">
        <f t="shared" si="1"/>
        <v>293.9453125</v>
      </c>
      <c r="F8" s="9">
        <v>0.3125</v>
      </c>
      <c r="G8" s="27">
        <f t="shared" si="2"/>
        <v>362.78645633495415</v>
      </c>
      <c r="H8" s="27">
        <f t="shared" si="3"/>
        <v>461.9140625</v>
      </c>
      <c r="J8" s="9">
        <v>0.3125</v>
      </c>
      <c r="K8" s="27">
        <f t="shared" si="4"/>
        <v>592.8835745178003</v>
      </c>
      <c r="L8" s="27">
        <f t="shared" si="5"/>
        <v>754.8828125</v>
      </c>
    </row>
    <row r="9" spans="2:12" x14ac:dyDescent="0.25">
      <c r="B9" s="9">
        <v>0.375</v>
      </c>
      <c r="C9" s="27">
        <f t="shared" si="0"/>
        <v>332.44431635057617</v>
      </c>
      <c r="D9" s="27">
        <f t="shared" si="1"/>
        <v>423.28125</v>
      </c>
      <c r="F9" s="9">
        <v>0.375</v>
      </c>
      <c r="G9" s="27">
        <f t="shared" si="2"/>
        <v>522.412497122334</v>
      </c>
      <c r="H9" s="27">
        <f t="shared" si="3"/>
        <v>665.15625</v>
      </c>
      <c r="J9" s="9">
        <v>0.375</v>
      </c>
      <c r="K9" s="27">
        <f t="shared" si="4"/>
        <v>853.7523473056325</v>
      </c>
      <c r="L9" s="27">
        <f t="shared" si="5"/>
        <v>1087.03125</v>
      </c>
    </row>
    <row r="10" spans="2:12" x14ac:dyDescent="0.25">
      <c r="B10" s="9">
        <v>0.4375</v>
      </c>
      <c r="C10" s="27">
        <f t="shared" si="0"/>
        <v>452.49365281050638</v>
      </c>
      <c r="D10" s="27">
        <f t="shared" si="1"/>
        <v>576.1328125</v>
      </c>
      <c r="F10" s="9">
        <v>0.4375</v>
      </c>
      <c r="G10" s="27">
        <f t="shared" si="2"/>
        <v>711.06145441651006</v>
      </c>
      <c r="H10" s="27">
        <f t="shared" si="3"/>
        <v>905.3515625</v>
      </c>
      <c r="J10" s="9">
        <v>0.4375</v>
      </c>
      <c r="K10" s="27">
        <f t="shared" si="4"/>
        <v>1162.0518060548886</v>
      </c>
      <c r="L10" s="27">
        <f t="shared" si="5"/>
        <v>1479.5703125</v>
      </c>
    </row>
    <row r="11" spans="2:12" x14ac:dyDescent="0.25">
      <c r="B11" s="9">
        <v>0.5</v>
      </c>
      <c r="C11" s="27">
        <f t="shared" si="0"/>
        <v>591.0121179565798</v>
      </c>
      <c r="D11" s="27">
        <f t="shared" si="1"/>
        <v>752.5</v>
      </c>
      <c r="F11" s="9">
        <v>0.5</v>
      </c>
      <c r="G11" s="27">
        <f t="shared" si="2"/>
        <v>928.73332821748261</v>
      </c>
      <c r="H11" s="27">
        <f t="shared" si="3"/>
        <v>1182.5</v>
      </c>
      <c r="J11" s="9">
        <v>0.5</v>
      </c>
      <c r="K11" s="27">
        <f t="shared" si="4"/>
        <v>1517.7819507655688</v>
      </c>
      <c r="L11" s="27">
        <f t="shared" si="5"/>
        <v>1932.5</v>
      </c>
    </row>
    <row r="13" spans="2:12" ht="18.75" x14ac:dyDescent="0.3">
      <c r="B13" s="35" t="s">
        <v>8</v>
      </c>
      <c r="C13" s="35"/>
      <c r="D13" s="35"/>
      <c r="F13" s="35" t="s">
        <v>10</v>
      </c>
      <c r="G13" s="35"/>
      <c r="H13" s="35"/>
      <c r="J13" s="35" t="s">
        <v>12</v>
      </c>
      <c r="K13" s="35"/>
      <c r="L13" s="35"/>
    </row>
    <row r="14" spans="2:12" ht="16.5" x14ac:dyDescent="0.3">
      <c r="B14" s="5">
        <v>4020</v>
      </c>
      <c r="C14" s="37" t="s">
        <v>16</v>
      </c>
      <c r="D14" s="37"/>
      <c r="F14" s="5">
        <v>4800</v>
      </c>
      <c r="G14" s="37" t="s">
        <v>16</v>
      </c>
      <c r="H14" s="37"/>
      <c r="J14" s="5">
        <v>8540</v>
      </c>
      <c r="K14" s="37" t="s">
        <v>16</v>
      </c>
      <c r="L14" s="37"/>
    </row>
    <row r="15" spans="2:12" ht="16.5" x14ac:dyDescent="0.3">
      <c r="B15" s="8" t="s">
        <v>13</v>
      </c>
      <c r="C15" s="8" t="s">
        <v>14</v>
      </c>
      <c r="D15" s="8" t="s">
        <v>15</v>
      </c>
      <c r="F15" s="8" t="s">
        <v>13</v>
      </c>
      <c r="G15" s="8" t="s">
        <v>14</v>
      </c>
      <c r="H15" s="8" t="s">
        <v>15</v>
      </c>
      <c r="J15" s="8" t="s">
        <v>13</v>
      </c>
      <c r="K15" s="8" t="s">
        <v>14</v>
      </c>
      <c r="L15" s="8" t="s">
        <v>15</v>
      </c>
    </row>
    <row r="16" spans="2:12" x14ac:dyDescent="0.25">
      <c r="B16" s="9">
        <v>0.125</v>
      </c>
      <c r="C16" s="27">
        <f>PI()*(0.5*B16)^2*4020</f>
        <v>49.332822138402221</v>
      </c>
      <c r="D16" s="27">
        <f>B16^2*4020</f>
        <v>62.8125</v>
      </c>
      <c r="F16" s="9">
        <v>0.125</v>
      </c>
      <c r="G16" s="27">
        <f>PI()*(0.5*F16)^2*4800</f>
        <v>58.90486225480862</v>
      </c>
      <c r="H16" s="27">
        <f>F16^2*4800</f>
        <v>75</v>
      </c>
      <c r="J16" s="10">
        <v>0.125</v>
      </c>
      <c r="K16" s="27">
        <f>PI()*(0.5*J16)^2*8540</f>
        <v>104.801567428347</v>
      </c>
      <c r="L16" s="27">
        <f>J16^2*8540</f>
        <v>133.4375</v>
      </c>
    </row>
    <row r="17" spans="2:12" x14ac:dyDescent="0.25">
      <c r="B17" s="9">
        <v>0.1875</v>
      </c>
      <c r="C17" s="27">
        <f t="shared" ref="C17:C22" si="6">PI()*(0.5*B17)^2*4020</f>
        <v>110.99884981140499</v>
      </c>
      <c r="D17" s="27">
        <f t="shared" ref="D17:D22" si="7">B17^2*4020</f>
        <v>141.328125</v>
      </c>
      <c r="F17" s="9">
        <v>0.1875</v>
      </c>
      <c r="G17" s="27">
        <f t="shared" ref="G17:G22" si="8">PI()*(0.5*F17)^2*4800</f>
        <v>132.53594007331941</v>
      </c>
      <c r="H17" s="27">
        <f t="shared" ref="H17:H22" si="9">F17^2*4800</f>
        <v>168.75</v>
      </c>
      <c r="J17" s="10">
        <v>0.1875</v>
      </c>
      <c r="K17" s="27">
        <f t="shared" ref="K17:K22" si="10">PI()*(0.5*J17)^2*8540</f>
        <v>235.80352671378077</v>
      </c>
      <c r="L17" s="27">
        <f t="shared" ref="L17:L22" si="11">J17^2*8540</f>
        <v>300.234375</v>
      </c>
    </row>
    <row r="18" spans="2:12" x14ac:dyDescent="0.25">
      <c r="B18" s="9">
        <v>0.25</v>
      </c>
      <c r="C18" s="27">
        <f t="shared" si="6"/>
        <v>197.33128855360889</v>
      </c>
      <c r="D18" s="27">
        <f t="shared" si="7"/>
        <v>251.25</v>
      </c>
      <c r="F18" s="9">
        <v>0.25</v>
      </c>
      <c r="G18" s="27">
        <f t="shared" si="8"/>
        <v>235.61944901923448</v>
      </c>
      <c r="H18" s="27">
        <f t="shared" si="9"/>
        <v>300</v>
      </c>
      <c r="J18" s="10">
        <v>0.25</v>
      </c>
      <c r="K18" s="27">
        <f t="shared" si="10"/>
        <v>419.206269713388</v>
      </c>
      <c r="L18" s="27">
        <f t="shared" si="11"/>
        <v>533.75</v>
      </c>
    </row>
    <row r="19" spans="2:12" x14ac:dyDescent="0.25">
      <c r="B19" s="9">
        <v>0.3125</v>
      </c>
      <c r="C19" s="27">
        <f t="shared" si="6"/>
        <v>308.33013836501391</v>
      </c>
      <c r="D19" s="27">
        <f t="shared" si="7"/>
        <v>392.578125</v>
      </c>
      <c r="F19" s="9">
        <v>0.3125</v>
      </c>
      <c r="G19" s="27">
        <f t="shared" si="8"/>
        <v>368.15538909255389</v>
      </c>
      <c r="H19" s="27">
        <f t="shared" si="9"/>
        <v>468.75</v>
      </c>
      <c r="J19" s="10">
        <v>0.3125</v>
      </c>
      <c r="K19" s="27">
        <f t="shared" si="10"/>
        <v>655.00979642716879</v>
      </c>
      <c r="L19" s="27">
        <f t="shared" si="11"/>
        <v>833.984375</v>
      </c>
    </row>
    <row r="20" spans="2:12" x14ac:dyDescent="0.25">
      <c r="B20" s="9">
        <v>0.375</v>
      </c>
      <c r="C20" s="27">
        <f t="shared" si="6"/>
        <v>443.99539924561998</v>
      </c>
      <c r="D20" s="27">
        <f t="shared" si="7"/>
        <v>565.3125</v>
      </c>
      <c r="F20" s="9">
        <v>0.375</v>
      </c>
      <c r="G20" s="27">
        <f t="shared" si="8"/>
        <v>530.14376029327764</v>
      </c>
      <c r="H20" s="27">
        <f t="shared" si="9"/>
        <v>675</v>
      </c>
      <c r="J20" s="10">
        <v>0.375</v>
      </c>
      <c r="K20" s="27">
        <f t="shared" si="10"/>
        <v>943.21410685512308</v>
      </c>
      <c r="L20" s="27">
        <f t="shared" si="11"/>
        <v>1200.9375</v>
      </c>
    </row>
    <row r="21" spans="2:12" x14ac:dyDescent="0.25">
      <c r="B21" s="9">
        <v>0.4375</v>
      </c>
      <c r="C21" s="27">
        <f t="shared" si="6"/>
        <v>604.32707119542715</v>
      </c>
      <c r="D21" s="27">
        <f t="shared" si="7"/>
        <v>769.453125</v>
      </c>
      <c r="F21" s="9">
        <v>0.4375</v>
      </c>
      <c r="G21" s="27">
        <f t="shared" si="8"/>
        <v>721.58456262140555</v>
      </c>
      <c r="H21" s="27">
        <f t="shared" si="9"/>
        <v>918.75</v>
      </c>
      <c r="J21" s="10">
        <v>0.4375</v>
      </c>
      <c r="K21" s="27">
        <f t="shared" si="10"/>
        <v>1283.8192009972506</v>
      </c>
      <c r="L21" s="27">
        <f t="shared" si="11"/>
        <v>1634.609375</v>
      </c>
    </row>
    <row r="22" spans="2:12" x14ac:dyDescent="0.25">
      <c r="B22" s="9">
        <v>0.5</v>
      </c>
      <c r="C22" s="27">
        <f t="shared" si="6"/>
        <v>789.32515421443554</v>
      </c>
      <c r="D22" s="27">
        <f t="shared" si="7"/>
        <v>1005</v>
      </c>
      <c r="F22" s="9">
        <v>0.5</v>
      </c>
      <c r="G22" s="27">
        <f t="shared" si="8"/>
        <v>942.47779607693792</v>
      </c>
      <c r="H22" s="27">
        <f t="shared" si="9"/>
        <v>1200</v>
      </c>
      <c r="J22" s="10">
        <v>0.5</v>
      </c>
      <c r="K22" s="27">
        <f t="shared" si="10"/>
        <v>1676.825078853552</v>
      </c>
      <c r="L22" s="27">
        <f t="shared" si="11"/>
        <v>2135</v>
      </c>
    </row>
    <row r="24" spans="2:12" ht="18.75" x14ac:dyDescent="0.3">
      <c r="F24" s="35" t="s">
        <v>48</v>
      </c>
      <c r="G24" s="35"/>
      <c r="H24" s="35"/>
    </row>
    <row r="25" spans="2:12" ht="16.5" x14ac:dyDescent="0.3">
      <c r="F25" s="8" t="s">
        <v>43</v>
      </c>
      <c r="G25" s="8" t="s">
        <v>4</v>
      </c>
      <c r="H25" s="8" t="s">
        <v>26</v>
      </c>
    </row>
    <row r="26" spans="2:12" x14ac:dyDescent="0.25">
      <c r="F26" s="26">
        <v>0.375</v>
      </c>
      <c r="G26" s="23">
        <v>4.5</v>
      </c>
      <c r="H26" s="28">
        <f>F26*G26*5</f>
        <v>8.4375</v>
      </c>
    </row>
    <row r="27" spans="2:12" x14ac:dyDescent="0.25">
      <c r="F27" s="26">
        <v>0.75</v>
      </c>
      <c r="G27" s="23">
        <v>6</v>
      </c>
      <c r="H27" s="28">
        <f>F27*G27*5</f>
        <v>22.5</v>
      </c>
    </row>
    <row r="28" spans="2:12" x14ac:dyDescent="0.25">
      <c r="F28" s="26">
        <v>0.9375</v>
      </c>
      <c r="G28" s="23">
        <v>8</v>
      </c>
      <c r="H28" s="28">
        <f>F28*G28*5</f>
        <v>37.5</v>
      </c>
    </row>
    <row r="30" spans="2:12" hidden="1" x14ac:dyDescent="0.25">
      <c r="D30" t="s">
        <v>25</v>
      </c>
      <c r="E30" t="s">
        <v>22</v>
      </c>
      <c r="F30" t="s">
        <v>23</v>
      </c>
      <c r="G30" t="s">
        <v>6</v>
      </c>
      <c r="H30" t="s">
        <v>37</v>
      </c>
      <c r="I30" t="s">
        <v>38</v>
      </c>
      <c r="J30" t="s">
        <v>49</v>
      </c>
    </row>
    <row r="31" spans="2:12" hidden="1" x14ac:dyDescent="0.25">
      <c r="D31" s="9">
        <v>0.125</v>
      </c>
      <c r="E31" s="6">
        <v>8</v>
      </c>
      <c r="F31" t="s">
        <v>14</v>
      </c>
      <c r="G31" t="s">
        <v>7</v>
      </c>
      <c r="H31" s="9">
        <v>0.375</v>
      </c>
      <c r="I31" s="18">
        <v>4.5</v>
      </c>
      <c r="J31" s="4" t="s">
        <v>47</v>
      </c>
    </row>
    <row r="32" spans="2:12" hidden="1" x14ac:dyDescent="0.25">
      <c r="D32" s="9">
        <v>0.1875</v>
      </c>
      <c r="E32" s="6">
        <v>10</v>
      </c>
      <c r="F32" t="s">
        <v>15</v>
      </c>
      <c r="G32" t="s">
        <v>8</v>
      </c>
      <c r="H32" s="18">
        <v>0.75</v>
      </c>
      <c r="I32" s="18">
        <v>6</v>
      </c>
      <c r="J32" s="4" t="s">
        <v>39</v>
      </c>
    </row>
    <row r="33" spans="4:10" hidden="1" x14ac:dyDescent="0.25">
      <c r="D33" s="9">
        <v>0.25</v>
      </c>
      <c r="E33" s="6">
        <v>12</v>
      </c>
      <c r="G33" t="s">
        <v>9</v>
      </c>
      <c r="H33" s="18">
        <v>0.9375</v>
      </c>
      <c r="I33" s="18">
        <v>8</v>
      </c>
      <c r="J33" s="4" t="s">
        <v>40</v>
      </c>
    </row>
    <row r="34" spans="4:10" hidden="1" x14ac:dyDescent="0.25">
      <c r="D34" s="9">
        <v>0.3125</v>
      </c>
      <c r="E34" s="6">
        <v>14</v>
      </c>
      <c r="G34" t="s">
        <v>10</v>
      </c>
    </row>
    <row r="35" spans="4:10" hidden="1" x14ac:dyDescent="0.25">
      <c r="D35" s="9">
        <v>0.375</v>
      </c>
      <c r="E35" s="6">
        <v>16</v>
      </c>
      <c r="G35" t="s">
        <v>11</v>
      </c>
    </row>
    <row r="36" spans="4:10" hidden="1" x14ac:dyDescent="0.25">
      <c r="D36" s="9">
        <v>0.4375</v>
      </c>
      <c r="E36" s="6">
        <v>18</v>
      </c>
      <c r="G36" t="s">
        <v>12</v>
      </c>
    </row>
    <row r="37" spans="4:10" hidden="1" x14ac:dyDescent="0.25">
      <c r="D37" s="9">
        <v>0.5</v>
      </c>
      <c r="E37" s="6">
        <v>20</v>
      </c>
    </row>
    <row r="38" spans="4:10" hidden="1" x14ac:dyDescent="0.25">
      <c r="E38" s="6">
        <v>22</v>
      </c>
    </row>
    <row r="39" spans="4:10" hidden="1" x14ac:dyDescent="0.25">
      <c r="E39" s="6">
        <v>24</v>
      </c>
    </row>
    <row r="40" spans="4:10" hidden="1" x14ac:dyDescent="0.25">
      <c r="E40" s="6">
        <v>26</v>
      </c>
    </row>
    <row r="41" spans="4:10" hidden="1" x14ac:dyDescent="0.25">
      <c r="E41" s="6">
        <v>28</v>
      </c>
    </row>
    <row r="42" spans="4:10" hidden="1" x14ac:dyDescent="0.25">
      <c r="E42" s="6">
        <v>30</v>
      </c>
    </row>
    <row r="43" spans="4:10" hidden="1" x14ac:dyDescent="0.25">
      <c r="E43" s="6">
        <v>32</v>
      </c>
    </row>
    <row r="44" spans="4:10" hidden="1" x14ac:dyDescent="0.25">
      <c r="E44" s="6">
        <v>34</v>
      </c>
    </row>
    <row r="45" spans="4:10" hidden="1" x14ac:dyDescent="0.25">
      <c r="E45" s="6">
        <v>36</v>
      </c>
    </row>
  </sheetData>
  <mergeCells count="14">
    <mergeCell ref="B13:D13"/>
    <mergeCell ref="F13:H13"/>
    <mergeCell ref="J13:L13"/>
    <mergeCell ref="F24:H24"/>
    <mergeCell ref="B1:L1"/>
    <mergeCell ref="C3:D3"/>
    <mergeCell ref="G3:H3"/>
    <mergeCell ref="K3:L3"/>
    <mergeCell ref="K14:L14"/>
    <mergeCell ref="G14:H14"/>
    <mergeCell ref="C14:D14"/>
    <mergeCell ref="B2:D2"/>
    <mergeCell ref="J2:L2"/>
    <mergeCell ref="F2:H2"/>
  </mergeCells>
  <pageMargins left="0.7" right="0.7" top="0.75" bottom="0.75" header="0.3" footer="0.3"/>
  <pageSetup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"/>
  <sheetViews>
    <sheetView workbookViewId="0">
      <selection activeCell="P7" sqref="P7"/>
    </sheetView>
  </sheetViews>
  <sheetFormatPr defaultRowHeight="15" x14ac:dyDescent="0.25"/>
  <cols>
    <col min="1" max="1" width="11.7109375" customWidth="1"/>
    <col min="2" max="2" width="12.7109375" customWidth="1"/>
    <col min="3" max="3" width="8.7109375" customWidth="1"/>
    <col min="4" max="4" width="11.7109375" customWidth="1"/>
    <col min="5" max="5" width="8.7109375" customWidth="1"/>
    <col min="7" max="7" width="12.7109375" customWidth="1"/>
    <col min="8" max="8" width="11.28515625" customWidth="1"/>
    <col min="9" max="11" width="11.7109375" customWidth="1"/>
    <col min="12" max="13" width="12.7109375" customWidth="1"/>
  </cols>
  <sheetData>
    <row r="1" spans="1:16" ht="26.25" x14ac:dyDescent="0.4">
      <c r="A1" s="41" t="s">
        <v>17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</row>
    <row r="2" spans="1:16" ht="15" customHeight="1" x14ac:dyDescent="0.4">
      <c r="A2" s="2"/>
    </row>
    <row r="3" spans="1:16" ht="24" customHeight="1" x14ac:dyDescent="0.25">
      <c r="A3" s="39" t="s">
        <v>18</v>
      </c>
      <c r="B3" s="39"/>
      <c r="C3" s="39"/>
      <c r="D3" s="39"/>
      <c r="E3" s="39"/>
      <c r="F3" s="13"/>
      <c r="G3" s="39" t="s">
        <v>53</v>
      </c>
      <c r="H3" s="39"/>
      <c r="I3" s="39"/>
      <c r="J3" s="39"/>
      <c r="K3" s="39"/>
      <c r="L3" s="39"/>
      <c r="M3" s="39"/>
    </row>
    <row r="4" spans="1:16" ht="63" customHeight="1" x14ac:dyDescent="0.25">
      <c r="A4" s="12" t="s">
        <v>24</v>
      </c>
      <c r="B4" s="12" t="s">
        <v>20</v>
      </c>
      <c r="C4" s="12" t="s">
        <v>0</v>
      </c>
      <c r="D4" s="12" t="s">
        <v>21</v>
      </c>
      <c r="E4" s="12" t="s">
        <v>1</v>
      </c>
      <c r="F4" s="3"/>
      <c r="G4" s="12" t="s">
        <v>35</v>
      </c>
      <c r="H4" s="12" t="s">
        <v>34</v>
      </c>
      <c r="I4" s="12" t="s">
        <v>19</v>
      </c>
      <c r="J4" s="12" t="s">
        <v>33</v>
      </c>
      <c r="K4" s="12" t="s">
        <v>41</v>
      </c>
      <c r="L4" s="12" t="s">
        <v>5</v>
      </c>
      <c r="M4" s="12" t="s">
        <v>36</v>
      </c>
    </row>
    <row r="5" spans="1:16" x14ac:dyDescent="0.25">
      <c r="A5" s="6">
        <v>3</v>
      </c>
      <c r="B5" s="6">
        <v>8</v>
      </c>
      <c r="C5" s="6">
        <v>4</v>
      </c>
      <c r="D5" s="6">
        <v>5</v>
      </c>
      <c r="E5" s="6">
        <v>3</v>
      </c>
      <c r="G5" s="6">
        <v>3</v>
      </c>
      <c r="H5" s="6">
        <v>8</v>
      </c>
      <c r="I5" s="6" t="s">
        <v>15</v>
      </c>
      <c r="J5" s="6">
        <v>0.3125</v>
      </c>
      <c r="K5" s="6">
        <v>0.3125</v>
      </c>
      <c r="L5" s="6" t="s">
        <v>7</v>
      </c>
      <c r="M5" s="6" t="s">
        <v>47</v>
      </c>
    </row>
    <row r="6" spans="1:16" x14ac:dyDescent="0.25">
      <c r="A6" s="6">
        <v>5</v>
      </c>
      <c r="B6" s="6">
        <v>12</v>
      </c>
      <c r="C6" s="6">
        <v>4</v>
      </c>
      <c r="D6" s="6">
        <v>7</v>
      </c>
      <c r="E6" s="6">
        <v>5</v>
      </c>
      <c r="L6" s="14">
        <f>IF(L5="Hardwood",3010,IF(L5="Poplar",4020,IF(L5="Basswood",4730,IF(L5="White Pine",4800,IF(L5="White Oak",7730,IF(L5="Birch",8540))))))</f>
        <v>3010</v>
      </c>
    </row>
    <row r="7" spans="1:16" ht="16.5" x14ac:dyDescent="0.3">
      <c r="A7" s="6">
        <v>7</v>
      </c>
      <c r="B7" s="6">
        <v>16</v>
      </c>
      <c r="C7" s="6">
        <v>4</v>
      </c>
      <c r="D7" s="6">
        <v>9</v>
      </c>
      <c r="E7" s="6">
        <v>7</v>
      </c>
      <c r="H7" s="8" t="s">
        <v>52</v>
      </c>
      <c r="I7" s="8" t="s">
        <v>30</v>
      </c>
      <c r="J7" s="8" t="s">
        <v>31</v>
      </c>
      <c r="K7" s="8" t="s">
        <v>66</v>
      </c>
      <c r="L7" s="8" t="s">
        <v>26</v>
      </c>
      <c r="M7" s="8" t="s">
        <v>27</v>
      </c>
      <c r="N7" s="8"/>
      <c r="O7" s="8"/>
      <c r="P7" s="8"/>
    </row>
    <row r="8" spans="1:16" ht="16.5" x14ac:dyDescent="0.3">
      <c r="A8" s="6">
        <v>9</v>
      </c>
      <c r="B8" s="6">
        <v>20</v>
      </c>
      <c r="C8" s="6">
        <v>4</v>
      </c>
      <c r="D8" s="6">
        <v>11</v>
      </c>
      <c r="E8" s="6">
        <v>9</v>
      </c>
      <c r="G8" s="7" t="s">
        <v>3</v>
      </c>
      <c r="H8" s="16">
        <f>H5/(2+0.5*(G5-3))</f>
        <v>4</v>
      </c>
      <c r="I8" s="6">
        <f>2*2*(2+0.5*(G5-3))</f>
        <v>8</v>
      </c>
      <c r="J8" s="16">
        <f>H8*I8</f>
        <v>32</v>
      </c>
      <c r="K8" s="6">
        <f>ROUNDUP(J8/36,0)</f>
        <v>1</v>
      </c>
      <c r="L8" s="28">
        <f>IF(I5="Round",PI()*(0.5*J5)^2*L6,J5^2*L6)</f>
        <v>293.9453125</v>
      </c>
      <c r="M8" s="28">
        <f>K8*L8</f>
        <v>293.9453125</v>
      </c>
      <c r="O8" s="15"/>
    </row>
    <row r="9" spans="1:16" ht="16.5" x14ac:dyDescent="0.3">
      <c r="A9" s="6">
        <v>11</v>
      </c>
      <c r="B9" s="6">
        <v>24</v>
      </c>
      <c r="C9" s="6">
        <v>4</v>
      </c>
      <c r="D9" s="6">
        <v>13</v>
      </c>
      <c r="E9" s="6">
        <v>11</v>
      </c>
      <c r="G9" s="7" t="s">
        <v>29</v>
      </c>
      <c r="H9" s="16">
        <f>H5/(2+0.5*(G5-3))</f>
        <v>4</v>
      </c>
      <c r="I9" s="6">
        <f>2*(2+0.5*(G5-3)) +2*(1+0.5*(G5-3))</f>
        <v>6</v>
      </c>
      <c r="J9" s="16">
        <f>H9*I9</f>
        <v>24</v>
      </c>
      <c r="K9" s="6">
        <f>ROUNDUP(J9/36,0)</f>
        <v>1</v>
      </c>
      <c r="L9" s="28">
        <f>K5^2*L6</f>
        <v>293.9453125</v>
      </c>
      <c r="M9" s="28">
        <f>K9*L9</f>
        <v>293.9453125</v>
      </c>
      <c r="O9" s="15"/>
    </row>
    <row r="10" spans="1:16" ht="16.5" x14ac:dyDescent="0.3">
      <c r="G10" s="7" t="s">
        <v>1</v>
      </c>
      <c r="H10" s="16">
        <f>SQRT(H9^2+H11^2)</f>
        <v>5.6568542494923806</v>
      </c>
      <c r="I10" s="6">
        <f>G5</f>
        <v>3</v>
      </c>
      <c r="J10" s="16">
        <f>H10*I10</f>
        <v>16.970562748477143</v>
      </c>
      <c r="K10" s="6">
        <f>ROUNDUP(J10/36,0)</f>
        <v>1</v>
      </c>
      <c r="L10" s="28">
        <f>K5^2*L6</f>
        <v>293.9453125</v>
      </c>
      <c r="M10" s="28">
        <f>K10*L10</f>
        <v>293.9453125</v>
      </c>
    </row>
    <row r="11" spans="1:16" ht="16.5" x14ac:dyDescent="0.3">
      <c r="A11" s="6"/>
      <c r="G11" s="7" t="s">
        <v>2</v>
      </c>
      <c r="H11" s="16">
        <f>IF(M5="3/8 X 4 1/2",4,IF(M5="3/4 X 6",5.5,IF(M5="15/16 X 8",7.5)))</f>
        <v>4</v>
      </c>
      <c r="I11" s="6">
        <f>G5+2</f>
        <v>5</v>
      </c>
      <c r="J11" s="16">
        <f>H11*I11</f>
        <v>20</v>
      </c>
      <c r="K11" s="6">
        <f>ROUNDUP(J11/36,0)</f>
        <v>1</v>
      </c>
      <c r="L11" s="28">
        <f>K5^2*L6</f>
        <v>293.9453125</v>
      </c>
      <c r="M11" s="28">
        <f>K11*L11</f>
        <v>293.9453125</v>
      </c>
    </row>
    <row r="12" spans="1:16" ht="16.5" x14ac:dyDescent="0.3">
      <c r="A12" s="6"/>
      <c r="G12" s="7" t="s">
        <v>55</v>
      </c>
      <c r="H12" s="31">
        <f>IF(M5="3/8 X 4 1/2",4.5,IF(M5="3/4 X 6",6,IF(M5="15/16 X 8",8)))</f>
        <v>4.5</v>
      </c>
      <c r="I12" s="6">
        <f>G5+2</f>
        <v>5</v>
      </c>
      <c r="J12" s="33" t="s">
        <v>61</v>
      </c>
      <c r="K12" s="32" t="s">
        <v>61</v>
      </c>
      <c r="L12" s="28">
        <f>IF(M5="3/8 X 4 1/2",'Wood-Cost'!H26,IF(M5="3/4 X 6",'Wood-Cost'!H27,IF(M5="15/16 X 8",'Wood-Cost'!H28)))</f>
        <v>8.4375</v>
      </c>
      <c r="M12" s="28">
        <f>I12*L12</f>
        <v>42.1875</v>
      </c>
    </row>
    <row r="13" spans="1:16" x14ac:dyDescent="0.25">
      <c r="A13" s="6"/>
      <c r="I13" s="6"/>
      <c r="J13" s="6"/>
      <c r="K13" s="6"/>
      <c r="L13" s="19" t="s">
        <v>42</v>
      </c>
      <c r="M13" s="29">
        <f>SUM(M8:M12)</f>
        <v>1217.96875</v>
      </c>
    </row>
    <row r="14" spans="1:16" x14ac:dyDescent="0.25">
      <c r="A14" s="6"/>
      <c r="K14" s="34" t="s">
        <v>67</v>
      </c>
    </row>
    <row r="15" spans="1:16" ht="30" customHeight="1" x14ac:dyDescent="0.25">
      <c r="A15" s="6"/>
      <c r="G15" s="20"/>
      <c r="H15" s="20"/>
      <c r="I15" s="21" t="s">
        <v>45</v>
      </c>
      <c r="J15" s="22" t="s">
        <v>46</v>
      </c>
      <c r="K15" s="22" t="s">
        <v>30</v>
      </c>
      <c r="L15" s="22" t="s">
        <v>32</v>
      </c>
      <c r="M15" s="22" t="s">
        <v>44</v>
      </c>
    </row>
    <row r="16" spans="1:16" x14ac:dyDescent="0.25">
      <c r="A16" s="6"/>
      <c r="G16" s="40" t="s">
        <v>50</v>
      </c>
      <c r="H16" s="40"/>
      <c r="I16" s="23">
        <f>IF(M5="3/8 X 4 1/2",3/8,IF(M5="3/4 X 6",3/4,IF(M5="15/16 X 8",15/16)))</f>
        <v>0.375</v>
      </c>
      <c r="J16" s="20">
        <f>H5</f>
        <v>8</v>
      </c>
      <c r="K16" s="25">
        <f>ROUND(J16/I16,0)</f>
        <v>21</v>
      </c>
      <c r="L16" s="30">
        <f>IF(M5="3/8 X 4 1/2",'Wood-Cost'!H26,IF(M5="3/4 X 6",'Wood-Cost'!H27,IF(M5="15/16 X 8",'Wood-Cost'!H28)))</f>
        <v>8.4375</v>
      </c>
      <c r="M16" s="30">
        <f>K16*L16</f>
        <v>177.1875</v>
      </c>
    </row>
    <row r="17" spans="1:13" x14ac:dyDescent="0.25">
      <c r="A17" s="6"/>
    </row>
    <row r="18" spans="1:13" x14ac:dyDescent="0.25">
      <c r="A18" s="6"/>
      <c r="L18" s="1" t="s">
        <v>51</v>
      </c>
      <c r="M18" s="29">
        <f>M13+M16</f>
        <v>1395.15625</v>
      </c>
    </row>
    <row r="19" spans="1:13" x14ac:dyDescent="0.25">
      <c r="A19" s="6"/>
      <c r="M19" s="27"/>
    </row>
  </sheetData>
  <mergeCells count="4">
    <mergeCell ref="A3:E3"/>
    <mergeCell ref="G16:H16"/>
    <mergeCell ref="A1:M1"/>
    <mergeCell ref="G3:M3"/>
  </mergeCells>
  <dataValidations count="1">
    <dataValidation type="list" allowBlank="1" showInputMessage="1" showErrorMessage="1" sqref="G5">
      <formula1>$A$5:$A$9</formula1>
    </dataValidation>
  </dataValidations>
  <pageMargins left="0.7" right="0.7" top="0.75" bottom="0.75" header="0.3" footer="0.3"/>
  <pageSetup scale="80" orientation="landscape" verticalDpi="0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'Wood-Cost'!$E$31:$E$45</xm:f>
          </x14:formula1>
          <xm:sqref>H5</xm:sqref>
        </x14:dataValidation>
        <x14:dataValidation type="list" allowBlank="1" showInputMessage="1" showErrorMessage="1">
          <x14:formula1>
            <xm:f>'Wood-Cost'!$F$31:$F$32</xm:f>
          </x14:formula1>
          <xm:sqref>I5</xm:sqref>
        </x14:dataValidation>
        <x14:dataValidation type="list" allowBlank="1" showInputMessage="1" showErrorMessage="1">
          <x14:formula1>
            <xm:f>'Wood-Cost'!$D$31:$D$37</xm:f>
          </x14:formula1>
          <xm:sqref>J5:K5</xm:sqref>
        </x14:dataValidation>
        <x14:dataValidation type="list" allowBlank="1" showInputMessage="1" showErrorMessage="1">
          <x14:formula1>
            <xm:f>'Wood-Cost'!$G$31:$G$36</xm:f>
          </x14:formula1>
          <xm:sqref>L5</xm:sqref>
        </x14:dataValidation>
        <x14:dataValidation type="list" allowBlank="1" showInputMessage="1" showErrorMessage="1">
          <x14:formula1>
            <xm:f>'Wood-Cost'!$J$31:$J$33</xm:f>
          </x14:formula1>
          <xm:sqref>M5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0"/>
  <sheetViews>
    <sheetView topLeftCell="A16" workbookViewId="0">
      <selection activeCell="E25" sqref="E25"/>
    </sheetView>
  </sheetViews>
  <sheetFormatPr defaultRowHeight="15" x14ac:dyDescent="0.25"/>
  <cols>
    <col min="1" max="1" width="11.7109375" customWidth="1"/>
    <col min="2" max="2" width="12.7109375" customWidth="1"/>
    <col min="3" max="3" width="11" customWidth="1"/>
    <col min="4" max="4" width="8.7109375" customWidth="1"/>
    <col min="5" max="5" width="11.7109375" customWidth="1"/>
    <col min="6" max="6" width="8.7109375" customWidth="1"/>
    <col min="8" max="8" width="12.7109375" customWidth="1"/>
    <col min="9" max="9" width="11.28515625" customWidth="1"/>
    <col min="10" max="12" width="11.7109375" customWidth="1"/>
    <col min="13" max="14" width="12.7109375" customWidth="1"/>
  </cols>
  <sheetData>
    <row r="1" spans="1:17" ht="26.25" x14ac:dyDescent="0.4">
      <c r="A1" s="41" t="s">
        <v>56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7" ht="15" customHeight="1" x14ac:dyDescent="0.4">
      <c r="A2" s="2"/>
    </row>
    <row r="3" spans="1:17" ht="24" customHeight="1" x14ac:dyDescent="0.25">
      <c r="A3" s="39" t="s">
        <v>18</v>
      </c>
      <c r="B3" s="39"/>
      <c r="C3" s="39"/>
      <c r="D3" s="39"/>
      <c r="E3" s="39"/>
      <c r="F3" s="39"/>
      <c r="G3" s="13"/>
      <c r="H3" s="39" t="s">
        <v>53</v>
      </c>
      <c r="I3" s="39"/>
      <c r="J3" s="39"/>
      <c r="K3" s="39"/>
      <c r="L3" s="39"/>
      <c r="M3" s="39"/>
      <c r="N3" s="39"/>
    </row>
    <row r="4" spans="1:17" ht="66.75" customHeight="1" x14ac:dyDescent="0.25">
      <c r="A4" s="12" t="s">
        <v>24</v>
      </c>
      <c r="B4" s="12" t="s">
        <v>20</v>
      </c>
      <c r="C4" s="12" t="s">
        <v>57</v>
      </c>
      <c r="D4" s="12" t="s">
        <v>0</v>
      </c>
      <c r="E4" s="12" t="s">
        <v>21</v>
      </c>
      <c r="F4" s="12" t="s">
        <v>1</v>
      </c>
      <c r="G4" s="3"/>
      <c r="H4" s="12" t="s">
        <v>35</v>
      </c>
      <c r="I4" s="12" t="s">
        <v>34</v>
      </c>
      <c r="J4" s="12" t="s">
        <v>69</v>
      </c>
      <c r="K4" s="12" t="s">
        <v>59</v>
      </c>
      <c r="L4" s="12" t="s">
        <v>41</v>
      </c>
      <c r="M4" s="12" t="s">
        <v>5</v>
      </c>
      <c r="N4" s="12" t="s">
        <v>36</v>
      </c>
    </row>
    <row r="5" spans="1:17" x14ac:dyDescent="0.25">
      <c r="A5" s="6">
        <v>3</v>
      </c>
      <c r="B5" s="6">
        <v>8</v>
      </c>
      <c r="C5" s="6">
        <v>6</v>
      </c>
      <c r="D5" s="6">
        <v>4</v>
      </c>
      <c r="E5" s="6">
        <v>8</v>
      </c>
      <c r="F5" s="6">
        <v>6</v>
      </c>
      <c r="H5" s="6">
        <v>11</v>
      </c>
      <c r="I5" s="6">
        <v>36</v>
      </c>
      <c r="J5" s="6" t="s">
        <v>14</v>
      </c>
      <c r="K5" s="6">
        <v>0.25</v>
      </c>
      <c r="L5" s="6">
        <v>0.3125</v>
      </c>
      <c r="M5" s="6" t="s">
        <v>7</v>
      </c>
      <c r="N5" s="6" t="s">
        <v>40</v>
      </c>
    </row>
    <row r="6" spans="1:17" x14ac:dyDescent="0.25">
      <c r="A6" s="6">
        <v>5</v>
      </c>
      <c r="B6" s="6">
        <v>12</v>
      </c>
      <c r="C6" s="6">
        <v>10</v>
      </c>
      <c r="D6" s="6">
        <v>4</v>
      </c>
      <c r="E6" s="6">
        <v>12</v>
      </c>
      <c r="F6" s="6">
        <v>10</v>
      </c>
      <c r="M6" s="14">
        <f>IF(M5="Hardwood",3010,IF(M5="Poplar",4020,IF(M5="Basswood",4730,IF(M5="White Pine",4800,IF(M5="White Oak",7730,IF(M5="Birch",8540))))))</f>
        <v>3010</v>
      </c>
    </row>
    <row r="7" spans="1:17" ht="16.5" x14ac:dyDescent="0.3">
      <c r="A7" s="6">
        <v>7</v>
      </c>
      <c r="B7" s="6">
        <v>16</v>
      </c>
      <c r="C7" s="6">
        <v>14</v>
      </c>
      <c r="D7" s="6">
        <v>4</v>
      </c>
      <c r="E7" s="6">
        <v>16</v>
      </c>
      <c r="F7" s="6">
        <v>14</v>
      </c>
      <c r="I7" s="11" t="s">
        <v>52</v>
      </c>
      <c r="J7" s="11" t="s">
        <v>30</v>
      </c>
      <c r="K7" s="11" t="s">
        <v>31</v>
      </c>
      <c r="L7" s="11" t="s">
        <v>66</v>
      </c>
      <c r="M7" s="11" t="s">
        <v>26</v>
      </c>
      <c r="N7" s="11" t="s">
        <v>27</v>
      </c>
      <c r="O7" s="11"/>
      <c r="P7" s="11"/>
      <c r="Q7" s="11"/>
    </row>
    <row r="8" spans="1:17" ht="16.5" x14ac:dyDescent="0.3">
      <c r="A8" s="6">
        <v>9</v>
      </c>
      <c r="B8" s="6">
        <v>20</v>
      </c>
      <c r="C8" s="6">
        <v>18</v>
      </c>
      <c r="D8" s="6">
        <v>4</v>
      </c>
      <c r="E8" s="6">
        <v>20</v>
      </c>
      <c r="F8" s="6">
        <v>18</v>
      </c>
      <c r="H8" s="7" t="s">
        <v>3</v>
      </c>
      <c r="I8" s="16">
        <f>I5/(2+0.5*(H5-3))</f>
        <v>6</v>
      </c>
      <c r="J8" s="6">
        <f>2*2*(2+0.5*(H5-3))</f>
        <v>24</v>
      </c>
      <c r="K8" s="16">
        <f>I8*J8</f>
        <v>144</v>
      </c>
      <c r="L8" s="6">
        <f>ROUNDUP(K8/36,0)</f>
        <v>4</v>
      </c>
      <c r="M8" s="28">
        <f>IF(J5="Round",PI()*(0.5*K5)^2*M6,K5^2*M6)</f>
        <v>147.75302948914495</v>
      </c>
      <c r="N8" s="28">
        <f>L8*M8</f>
        <v>591.0121179565798</v>
      </c>
      <c r="P8" s="15"/>
    </row>
    <row r="9" spans="1:17" ht="16.5" x14ac:dyDescent="0.3">
      <c r="A9" s="6">
        <v>11</v>
      </c>
      <c r="B9" s="6">
        <v>24</v>
      </c>
      <c r="C9" s="6">
        <v>22</v>
      </c>
      <c r="D9" s="6">
        <v>4</v>
      </c>
      <c r="E9" s="6">
        <v>24</v>
      </c>
      <c r="F9" s="6">
        <v>22</v>
      </c>
      <c r="H9" s="7" t="s">
        <v>58</v>
      </c>
      <c r="I9" s="16">
        <f>SQRT(3)*I8/2</f>
        <v>5.196152422706632</v>
      </c>
      <c r="J9" s="6">
        <f>H5*2</f>
        <v>22</v>
      </c>
      <c r="K9" s="16">
        <f>I9*J9</f>
        <v>114.3153532995459</v>
      </c>
      <c r="L9" s="6">
        <f>ROUNDUP(K9/36,0)</f>
        <v>4</v>
      </c>
      <c r="M9" s="28">
        <f>IF(J5="Round",PI()*(0.5*K5)^2*M6,K5^2*M6)</f>
        <v>147.75302948914495</v>
      </c>
      <c r="N9" s="28">
        <f>L9*M9</f>
        <v>591.0121179565798</v>
      </c>
      <c r="P9" s="15"/>
    </row>
    <row r="10" spans="1:17" ht="16.5" x14ac:dyDescent="0.3">
      <c r="H10" s="7" t="s">
        <v>29</v>
      </c>
      <c r="I10" s="16">
        <f>I5/(2+0.5*(H5-3))</f>
        <v>6</v>
      </c>
      <c r="J10" s="6">
        <f>2*(2+0.5*(H5-3)) +2*(1+0.5*(H5-3))</f>
        <v>22</v>
      </c>
      <c r="K10" s="16">
        <f>I10*J10</f>
        <v>132</v>
      </c>
      <c r="L10" s="6">
        <f>ROUNDUP(K10/36,0)</f>
        <v>4</v>
      </c>
      <c r="M10" s="28">
        <f>L5^2*M6</f>
        <v>293.9453125</v>
      </c>
      <c r="N10" s="28">
        <f>L10*M10</f>
        <v>1175.78125</v>
      </c>
    </row>
    <row r="11" spans="1:17" ht="16.5" x14ac:dyDescent="0.3">
      <c r="A11" s="6"/>
      <c r="H11" s="7" t="s">
        <v>1</v>
      </c>
      <c r="I11" s="16">
        <f>SQRT(I10^2+(I12/2)^2)</f>
        <v>7.0754858490424528</v>
      </c>
      <c r="J11" s="6">
        <f>H5*2</f>
        <v>22</v>
      </c>
      <c r="K11" s="16">
        <f>I11*J11</f>
        <v>155.66068867893395</v>
      </c>
      <c r="L11" s="6">
        <f>ROUNDUP(K11/36,0)</f>
        <v>5</v>
      </c>
      <c r="M11" s="28">
        <f>L5^2*M6</f>
        <v>293.9453125</v>
      </c>
      <c r="N11" s="28">
        <f>L11*M11</f>
        <v>1469.7265625</v>
      </c>
    </row>
    <row r="12" spans="1:17" ht="16.5" x14ac:dyDescent="0.3">
      <c r="A12" s="6"/>
      <c r="H12" s="7" t="s">
        <v>2</v>
      </c>
      <c r="I12" s="16">
        <f>IF(N5="3/8 X 4 1/2",4,IF(N5="3/4 X 6",5.5,IF(N5="15/16 X 8",7.5)))</f>
        <v>7.5</v>
      </c>
      <c r="J12" s="6">
        <f>2*H5+2</f>
        <v>24</v>
      </c>
      <c r="K12" s="16">
        <f>I12*J12</f>
        <v>180</v>
      </c>
      <c r="L12" s="6">
        <f>ROUNDUP(K12/36,0)</f>
        <v>5</v>
      </c>
      <c r="M12" s="28">
        <f>L5^2*M6</f>
        <v>293.9453125</v>
      </c>
      <c r="N12" s="28">
        <f>L12*M12</f>
        <v>1469.7265625</v>
      </c>
    </row>
    <row r="13" spans="1:17" ht="16.5" x14ac:dyDescent="0.3">
      <c r="A13" s="6"/>
      <c r="H13" s="7" t="s">
        <v>55</v>
      </c>
      <c r="I13" s="31">
        <f>IF(N5="3/8 X 4 1/2",4.5,IF(N5="3/4 X 6",6,IF(N5="15/16 X 8",8)))</f>
        <v>8</v>
      </c>
      <c r="J13" s="6">
        <f>2*H5+2</f>
        <v>24</v>
      </c>
      <c r="K13" s="33" t="s">
        <v>60</v>
      </c>
      <c r="L13" s="32" t="s">
        <v>60</v>
      </c>
      <c r="M13" s="28">
        <f>IF(N5="3/8 X 4 1/2",'Wood-Cost'!H26,IF(N5="3/4 X 6",'Wood-Cost'!H27,IF(N5="15/16 X 8",'Wood-Cost'!H28)))</f>
        <v>37.5</v>
      </c>
      <c r="N13" s="28">
        <f>J13*M13</f>
        <v>900</v>
      </c>
    </row>
    <row r="14" spans="1:17" x14ac:dyDescent="0.25">
      <c r="A14" s="6"/>
      <c r="J14" s="6"/>
      <c r="K14" s="6"/>
      <c r="L14" s="6"/>
      <c r="M14" s="19" t="s">
        <v>42</v>
      </c>
      <c r="N14" s="29">
        <f>SUM(N8:N13)</f>
        <v>6197.2586109131598</v>
      </c>
    </row>
    <row r="15" spans="1:17" ht="15" customHeight="1" x14ac:dyDescent="0.25">
      <c r="A15" s="6"/>
      <c r="L15" t="s">
        <v>67</v>
      </c>
      <c r="M15" s="17"/>
      <c r="N15" s="17"/>
    </row>
    <row r="16" spans="1:17" ht="30" x14ac:dyDescent="0.25">
      <c r="A16" s="6"/>
      <c r="H16" s="20"/>
      <c r="I16" s="20"/>
      <c r="J16" s="24" t="s">
        <v>45</v>
      </c>
      <c r="K16" s="22" t="s">
        <v>46</v>
      </c>
      <c r="L16" s="22" t="s">
        <v>30</v>
      </c>
      <c r="M16" s="22" t="s">
        <v>32</v>
      </c>
      <c r="N16" s="22" t="s">
        <v>44</v>
      </c>
    </row>
    <row r="17" spans="1:14" x14ac:dyDescent="0.25">
      <c r="A17" s="6"/>
      <c r="H17" s="40" t="s">
        <v>50</v>
      </c>
      <c r="I17" s="40"/>
      <c r="J17" s="23">
        <f>IF(N5="3/8 X 4 1/2",3/8,IF(N5="3/4 X 6",3/4,IF(N5="15/16 X 8",15/16)))</f>
        <v>0.9375</v>
      </c>
      <c r="K17" s="20">
        <f>I5</f>
        <v>36</v>
      </c>
      <c r="L17" s="25">
        <f>ROUND(K17/J17,0)</f>
        <v>38</v>
      </c>
      <c r="M17" s="30">
        <f>IF(N5="3/8 X 4 1/2",'Wood-Cost'!H26,IF(N5="3/4 X 6",'Wood-Cost'!H27,IF(N5="15/16 X 8",'Wood-Cost'!H28)))</f>
        <v>37.5</v>
      </c>
      <c r="N17" s="30">
        <f>L17*M17</f>
        <v>1425</v>
      </c>
    </row>
    <row r="18" spans="1:14" x14ac:dyDescent="0.25">
      <c r="A18" s="6"/>
    </row>
    <row r="19" spans="1:14" x14ac:dyDescent="0.25">
      <c r="A19" s="6"/>
      <c r="M19" s="1" t="s">
        <v>51</v>
      </c>
      <c r="N19" s="29">
        <f>N14+N17</f>
        <v>7622.2586109131598</v>
      </c>
    </row>
    <row r="20" spans="1:14" x14ac:dyDescent="0.25">
      <c r="N20" s="27"/>
    </row>
  </sheetData>
  <mergeCells count="4">
    <mergeCell ref="A1:N1"/>
    <mergeCell ref="A3:F3"/>
    <mergeCell ref="H17:I17"/>
    <mergeCell ref="H3:N3"/>
  </mergeCells>
  <dataValidations count="1">
    <dataValidation type="list" allowBlank="1" showInputMessage="1" showErrorMessage="1" sqref="H5">
      <formula1>$A$5:$A$9</formula1>
    </dataValidation>
  </dataValidations>
  <pageMargins left="0.45" right="0.45" top="0.75" bottom="0.75" header="0.3" footer="0.3"/>
  <pageSetup scale="80" orientation="landscape" verticalDpi="0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'Wood-Cost'!$J$31:$J$33</xm:f>
          </x14:formula1>
          <xm:sqref>N5</xm:sqref>
        </x14:dataValidation>
        <x14:dataValidation type="list" allowBlank="1" showInputMessage="1" showErrorMessage="1">
          <x14:formula1>
            <xm:f>'Wood-Cost'!$G$31:$G$36</xm:f>
          </x14:formula1>
          <xm:sqref>M5</xm:sqref>
        </x14:dataValidation>
        <x14:dataValidation type="list" allowBlank="1" showInputMessage="1" showErrorMessage="1">
          <x14:formula1>
            <xm:f>'Wood-Cost'!$D$31:$D$37</xm:f>
          </x14:formula1>
          <xm:sqref>K5:L5</xm:sqref>
        </x14:dataValidation>
        <x14:dataValidation type="list" allowBlank="1" showInputMessage="1" showErrorMessage="1">
          <x14:formula1>
            <xm:f>'Wood-Cost'!$F$31:$F$32</xm:f>
          </x14:formula1>
          <xm:sqref>J5</xm:sqref>
        </x14:dataValidation>
        <x14:dataValidation type="list" allowBlank="1" showInputMessage="1" showErrorMessage="1">
          <x14:formula1>
            <xm:f>'Wood-Cost'!$E$31:$E$45</xm:f>
          </x14:formula1>
          <xm:sqref>I5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0"/>
  <sheetViews>
    <sheetView workbookViewId="0">
      <selection activeCell="J5" sqref="J5"/>
    </sheetView>
  </sheetViews>
  <sheetFormatPr defaultRowHeight="15" x14ac:dyDescent="0.25"/>
  <cols>
    <col min="1" max="1" width="11.7109375" customWidth="1"/>
    <col min="2" max="2" width="12.7109375" customWidth="1"/>
    <col min="3" max="3" width="11" customWidth="1"/>
    <col min="4" max="4" width="8.7109375" customWidth="1"/>
    <col min="5" max="5" width="11.7109375" customWidth="1"/>
    <col min="6" max="6" width="8.7109375" customWidth="1"/>
    <col min="8" max="8" width="12.7109375" customWidth="1"/>
    <col min="9" max="9" width="11.28515625" customWidth="1"/>
    <col min="10" max="12" width="11.7109375" customWidth="1"/>
    <col min="13" max="14" width="12.7109375" customWidth="1"/>
  </cols>
  <sheetData>
    <row r="1" spans="1:17" ht="26.25" x14ac:dyDescent="0.4">
      <c r="A1" s="41" t="s">
        <v>62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7" ht="15" customHeight="1" x14ac:dyDescent="0.4">
      <c r="A2" s="2"/>
    </row>
    <row r="3" spans="1:17" ht="24" customHeight="1" x14ac:dyDescent="0.25">
      <c r="A3" s="39" t="s">
        <v>18</v>
      </c>
      <c r="B3" s="39"/>
      <c r="C3" s="39"/>
      <c r="D3" s="39"/>
      <c r="E3" s="39"/>
      <c r="F3" s="39"/>
      <c r="G3" s="13"/>
      <c r="H3" s="39" t="s">
        <v>53</v>
      </c>
      <c r="I3" s="39"/>
      <c r="J3" s="39"/>
      <c r="K3" s="39"/>
      <c r="L3" s="39"/>
      <c r="M3" s="39"/>
      <c r="N3" s="39"/>
    </row>
    <row r="4" spans="1:17" ht="66.75" customHeight="1" x14ac:dyDescent="0.25">
      <c r="A4" s="12" t="s">
        <v>63</v>
      </c>
      <c r="B4" s="12" t="s">
        <v>20</v>
      </c>
      <c r="C4" s="12" t="s">
        <v>57</v>
      </c>
      <c r="D4" s="12" t="s">
        <v>0</v>
      </c>
      <c r="E4" s="12" t="s">
        <v>21</v>
      </c>
      <c r="F4" s="12" t="s">
        <v>1</v>
      </c>
      <c r="G4" s="3"/>
      <c r="H4" s="12" t="s">
        <v>64</v>
      </c>
      <c r="I4" s="12" t="s">
        <v>34</v>
      </c>
      <c r="J4" s="12" t="s">
        <v>69</v>
      </c>
      <c r="K4" s="12" t="s">
        <v>59</v>
      </c>
      <c r="L4" s="12" t="s">
        <v>41</v>
      </c>
      <c r="M4" s="12" t="s">
        <v>5</v>
      </c>
      <c r="N4" s="12" t="s">
        <v>36</v>
      </c>
    </row>
    <row r="5" spans="1:17" x14ac:dyDescent="0.25">
      <c r="A5" s="6">
        <v>6</v>
      </c>
      <c r="B5" s="6">
        <v>4</v>
      </c>
      <c r="C5" s="6">
        <v>3</v>
      </c>
      <c r="D5" s="6">
        <v>6</v>
      </c>
      <c r="E5" s="6">
        <v>8</v>
      </c>
      <c r="F5" s="6">
        <v>6</v>
      </c>
      <c r="H5" s="6">
        <v>18</v>
      </c>
      <c r="I5" s="6">
        <v>36</v>
      </c>
      <c r="J5" s="6" t="s">
        <v>14</v>
      </c>
      <c r="K5" s="6">
        <v>0.25</v>
      </c>
      <c r="L5" s="6">
        <v>0.3125</v>
      </c>
      <c r="M5" s="6" t="s">
        <v>7</v>
      </c>
      <c r="N5" s="6" t="s">
        <v>40</v>
      </c>
    </row>
    <row r="6" spans="1:17" x14ac:dyDescent="0.25">
      <c r="A6" s="6">
        <v>10</v>
      </c>
      <c r="B6" s="6">
        <v>6</v>
      </c>
      <c r="C6" s="6">
        <v>5</v>
      </c>
      <c r="D6" s="6">
        <v>10</v>
      </c>
      <c r="E6" s="6">
        <v>12</v>
      </c>
      <c r="F6" s="6">
        <v>10</v>
      </c>
      <c r="M6" s="14">
        <f>IF(M5="Hardwood",3010,IF(M5="Poplar",4020,IF(M5="Basswood",4730,IF(M5="White Pine",4800,IF(M5="White Oak",7730,IF(M5="Birch",8540))))))</f>
        <v>3010</v>
      </c>
    </row>
    <row r="7" spans="1:17" ht="16.5" x14ac:dyDescent="0.3">
      <c r="A7" s="6">
        <v>14</v>
      </c>
      <c r="B7" s="6">
        <v>8</v>
      </c>
      <c r="C7" s="6">
        <v>7</v>
      </c>
      <c r="D7" s="6">
        <v>14</v>
      </c>
      <c r="E7" s="6">
        <v>16</v>
      </c>
      <c r="F7" s="6">
        <v>14</v>
      </c>
      <c r="I7" s="11" t="s">
        <v>52</v>
      </c>
      <c r="J7" s="11" t="s">
        <v>30</v>
      </c>
      <c r="K7" s="11" t="s">
        <v>31</v>
      </c>
      <c r="L7" s="11" t="s">
        <v>66</v>
      </c>
      <c r="M7" s="11" t="s">
        <v>26</v>
      </c>
      <c r="N7" s="11" t="s">
        <v>27</v>
      </c>
      <c r="O7" s="11"/>
      <c r="P7" s="11"/>
      <c r="Q7" s="11"/>
    </row>
    <row r="8" spans="1:17" ht="16.5" x14ac:dyDescent="0.3">
      <c r="A8" s="6">
        <v>18</v>
      </c>
      <c r="B8" s="6">
        <v>10</v>
      </c>
      <c r="C8" s="6">
        <v>9</v>
      </c>
      <c r="D8" s="6">
        <v>18</v>
      </c>
      <c r="E8" s="6">
        <v>20</v>
      </c>
      <c r="F8" s="6">
        <v>18</v>
      </c>
      <c r="H8" s="7" t="s">
        <v>3</v>
      </c>
      <c r="I8" s="16">
        <f>2*I5/(4+0.5*(H5-6))</f>
        <v>7.2</v>
      </c>
      <c r="J8" s="6">
        <f>2*(4+0.5*(H5-6))</f>
        <v>20</v>
      </c>
      <c r="K8" s="16">
        <f>I8*J8</f>
        <v>144</v>
      </c>
      <c r="L8" s="6">
        <f>ROUNDUP(K8/36,0)</f>
        <v>4</v>
      </c>
      <c r="M8" s="28">
        <f>IF(J5="Round",PI()*(0.5*K5)^2*M6,K5^2*M6)</f>
        <v>147.75302948914495</v>
      </c>
      <c r="N8" s="28">
        <f>L8*M8</f>
        <v>591.0121179565798</v>
      </c>
      <c r="P8" s="15"/>
    </row>
    <row r="9" spans="1:17" ht="16.5" x14ac:dyDescent="0.3">
      <c r="A9" s="6"/>
      <c r="B9" s="6"/>
      <c r="C9" s="6"/>
      <c r="D9" s="6"/>
      <c r="E9" s="6"/>
      <c r="F9" s="6"/>
      <c r="H9" s="7" t="s">
        <v>58</v>
      </c>
      <c r="I9" s="16">
        <f>SQRT(I8^2-I10^2)</f>
        <v>6.2353829072479581</v>
      </c>
      <c r="J9" s="6">
        <f>H5</f>
        <v>18</v>
      </c>
      <c r="K9" s="16">
        <f>I9*J9</f>
        <v>112.23689233046325</v>
      </c>
      <c r="L9" s="6">
        <f>ROUNDUP(K9/36,0)</f>
        <v>4</v>
      </c>
      <c r="M9" s="28">
        <f>IF(J5="Round",PI()*(0.5*K5)^2*M6,K5^2*M6)</f>
        <v>147.75302948914495</v>
      </c>
      <c r="N9" s="28">
        <f>L9*M9</f>
        <v>591.0121179565798</v>
      </c>
      <c r="P9" s="15"/>
    </row>
    <row r="10" spans="1:17" ht="16.5" x14ac:dyDescent="0.3">
      <c r="H10" s="7" t="s">
        <v>29</v>
      </c>
      <c r="I10" s="16">
        <f>I5/(4+0.5*(H5-6))</f>
        <v>3.6</v>
      </c>
      <c r="J10" s="6">
        <f>H5</f>
        <v>18</v>
      </c>
      <c r="K10" s="16">
        <f>I10*J10</f>
        <v>64.8</v>
      </c>
      <c r="L10" s="6">
        <f>ROUNDUP(K10/36,0)</f>
        <v>2</v>
      </c>
      <c r="M10" s="28">
        <f>L5^2*M6</f>
        <v>293.9453125</v>
      </c>
      <c r="N10" s="28">
        <f>L10*M10</f>
        <v>587.890625</v>
      </c>
    </row>
    <row r="11" spans="1:17" ht="16.5" x14ac:dyDescent="0.3">
      <c r="A11" s="6"/>
      <c r="H11" s="7" t="s">
        <v>1</v>
      </c>
      <c r="I11" s="16">
        <f>SQRT(I10^2+(I12/2)^2)</f>
        <v>5.1983170353490369</v>
      </c>
      <c r="J11" s="6">
        <f>H5</f>
        <v>18</v>
      </c>
      <c r="K11" s="16">
        <f>I11*J11</f>
        <v>93.56970663628266</v>
      </c>
      <c r="L11" s="6">
        <f>ROUNDUP(K11/36,0)</f>
        <v>3</v>
      </c>
      <c r="M11" s="28">
        <f>L5^2*M6</f>
        <v>293.9453125</v>
      </c>
      <c r="N11" s="28">
        <f>L11*M11</f>
        <v>881.8359375</v>
      </c>
    </row>
    <row r="12" spans="1:17" ht="16.5" x14ac:dyDescent="0.3">
      <c r="A12" s="6"/>
      <c r="H12" s="7" t="s">
        <v>2</v>
      </c>
      <c r="I12" s="16">
        <f>IF(N5="3/8 X 4 1/2",4,IF(N5="3/4 X 6",5.5,IF(N5="15/16 X 8",7.5)))</f>
        <v>7.5</v>
      </c>
      <c r="J12" s="6">
        <f>H5+2</f>
        <v>20</v>
      </c>
      <c r="K12" s="16">
        <f>I12*J12</f>
        <v>150</v>
      </c>
      <c r="L12" s="6">
        <f>ROUNDUP(K12/36,0)</f>
        <v>5</v>
      </c>
      <c r="M12" s="28">
        <f>L5^2*M6</f>
        <v>293.9453125</v>
      </c>
      <c r="N12" s="28">
        <f>L12*M12</f>
        <v>1469.7265625</v>
      </c>
    </row>
    <row r="13" spans="1:17" ht="16.5" x14ac:dyDescent="0.3">
      <c r="A13" s="6"/>
      <c r="H13" s="7" t="s">
        <v>55</v>
      </c>
      <c r="I13" s="31">
        <f>IF(N5="3/8 X 4 1/2",4.5,IF(N5="3/4 X 6",6,IF(N5="15/16 X 8",8)))</f>
        <v>8</v>
      </c>
      <c r="J13" s="6">
        <f>H5+2</f>
        <v>20</v>
      </c>
      <c r="K13" s="33" t="s">
        <v>60</v>
      </c>
      <c r="L13" s="32" t="s">
        <v>60</v>
      </c>
      <c r="M13" s="28">
        <f>IF(N5="3/8 X 4 1/2",'Wood-Cost'!H26,IF(N5="3/4 X 6",'Wood-Cost'!H27,IF(N5="15/16 X 8",'Wood-Cost'!H28)))</f>
        <v>37.5</v>
      </c>
      <c r="N13" s="28">
        <f>J13*M13</f>
        <v>750</v>
      </c>
    </row>
    <row r="14" spans="1:17" x14ac:dyDescent="0.25">
      <c r="A14" s="6"/>
      <c r="J14" s="6"/>
      <c r="K14" s="6"/>
      <c r="L14" s="6"/>
      <c r="M14" s="19" t="s">
        <v>42</v>
      </c>
      <c r="N14" s="29">
        <f>SUM(N8:N13)</f>
        <v>4871.4773609131598</v>
      </c>
    </row>
    <row r="15" spans="1:17" ht="15" customHeight="1" x14ac:dyDescent="0.25">
      <c r="A15" s="6"/>
      <c r="L15" t="s">
        <v>67</v>
      </c>
      <c r="M15" s="17"/>
      <c r="N15" s="17"/>
    </row>
    <row r="16" spans="1:17" ht="30" x14ac:dyDescent="0.25">
      <c r="A16" s="6"/>
      <c r="H16" s="20"/>
      <c r="I16" s="20"/>
      <c r="J16" s="24" t="s">
        <v>45</v>
      </c>
      <c r="K16" s="22" t="s">
        <v>46</v>
      </c>
      <c r="L16" s="22" t="s">
        <v>30</v>
      </c>
      <c r="M16" s="22" t="s">
        <v>32</v>
      </c>
      <c r="N16" s="22" t="s">
        <v>44</v>
      </c>
    </row>
    <row r="17" spans="1:14" x14ac:dyDescent="0.25">
      <c r="A17" s="6"/>
      <c r="H17" s="40" t="s">
        <v>50</v>
      </c>
      <c r="I17" s="40"/>
      <c r="J17" s="23">
        <f>IF(N5="3/8 X 4 1/2",3/8,IF(N5="3/4 X 6",3/4,IF(N5="15/16 X 8",15/16)))</f>
        <v>0.9375</v>
      </c>
      <c r="K17" s="20">
        <f>I5</f>
        <v>36</v>
      </c>
      <c r="L17" s="25">
        <f>ROUND(K17/J17,0)</f>
        <v>38</v>
      </c>
      <c r="M17" s="30">
        <f>IF(N5="3/8 X 4 1/2",'Wood-Cost'!H26,IF(N5="3/4 X 6",'Wood-Cost'!H27,IF(N5="15/16 X 8",'Wood-Cost'!H28)))</f>
        <v>37.5</v>
      </c>
      <c r="N17" s="30">
        <f>L17*M17</f>
        <v>1425</v>
      </c>
    </row>
    <row r="18" spans="1:14" x14ac:dyDescent="0.25">
      <c r="A18" s="6"/>
    </row>
    <row r="19" spans="1:14" x14ac:dyDescent="0.25">
      <c r="A19" s="6"/>
      <c r="M19" s="1" t="s">
        <v>51</v>
      </c>
      <c r="N19" s="29">
        <f>N14+N17</f>
        <v>6296.4773609131598</v>
      </c>
    </row>
    <row r="20" spans="1:14" x14ac:dyDescent="0.25">
      <c r="N20" s="27"/>
    </row>
  </sheetData>
  <mergeCells count="4">
    <mergeCell ref="A1:N1"/>
    <mergeCell ref="A3:F3"/>
    <mergeCell ref="H17:I17"/>
    <mergeCell ref="H3:N3"/>
  </mergeCells>
  <dataValidations count="1">
    <dataValidation type="list" allowBlank="1" showInputMessage="1" showErrorMessage="1" sqref="H5">
      <formula1>$A$5:$A$8</formula1>
    </dataValidation>
  </dataValidations>
  <pageMargins left="0.45" right="0.45" top="0.75" bottom="0.75" header="0.3" footer="0.3"/>
  <pageSetup scale="80" orientation="landscape" verticalDpi="0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'Wood-Cost'!$E$31:$E$45</xm:f>
          </x14:formula1>
          <xm:sqref>I5</xm:sqref>
        </x14:dataValidation>
        <x14:dataValidation type="list" allowBlank="1" showInputMessage="1" showErrorMessage="1">
          <x14:formula1>
            <xm:f>'Wood-Cost'!$F$31:$F$32</xm:f>
          </x14:formula1>
          <xm:sqref>J5</xm:sqref>
        </x14:dataValidation>
        <x14:dataValidation type="list" allowBlank="1" showInputMessage="1" showErrorMessage="1">
          <x14:formula1>
            <xm:f>'Wood-Cost'!$D$31:$D$37</xm:f>
          </x14:formula1>
          <xm:sqref>K5:L5</xm:sqref>
        </x14:dataValidation>
        <x14:dataValidation type="list" allowBlank="1" showInputMessage="1" showErrorMessage="1">
          <x14:formula1>
            <xm:f>'Wood-Cost'!$G$31:$G$36</xm:f>
          </x14:formula1>
          <xm:sqref>M5</xm:sqref>
        </x14:dataValidation>
        <x14:dataValidation type="list" allowBlank="1" showInputMessage="1" showErrorMessage="1">
          <x14:formula1>
            <xm:f>'Wood-Cost'!$J$31:$J$33</xm:f>
          </x14:formula1>
          <xm:sqref>N5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0"/>
  <sheetViews>
    <sheetView tabSelected="1" workbookViewId="0">
      <selection activeCell="J5" sqref="J5"/>
    </sheetView>
  </sheetViews>
  <sheetFormatPr defaultRowHeight="15" x14ac:dyDescent="0.25"/>
  <cols>
    <col min="1" max="1" width="11.7109375" customWidth="1"/>
    <col min="2" max="2" width="12.7109375" customWidth="1"/>
    <col min="3" max="3" width="11" customWidth="1"/>
    <col min="4" max="4" width="8.7109375" customWidth="1"/>
    <col min="5" max="5" width="11.7109375" customWidth="1"/>
    <col min="6" max="6" width="8.7109375" customWidth="1"/>
    <col min="8" max="8" width="12.7109375" customWidth="1"/>
    <col min="9" max="9" width="11.28515625" customWidth="1"/>
    <col min="10" max="12" width="11.7109375" customWidth="1"/>
    <col min="13" max="14" width="12.7109375" customWidth="1"/>
  </cols>
  <sheetData>
    <row r="1" spans="1:17" ht="26.25" x14ac:dyDescent="0.4">
      <c r="A1" s="41" t="s">
        <v>65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7" ht="15" customHeight="1" x14ac:dyDescent="0.4">
      <c r="A2" s="2"/>
    </row>
    <row r="3" spans="1:17" ht="24" customHeight="1" x14ac:dyDescent="0.25">
      <c r="A3" s="39" t="s">
        <v>18</v>
      </c>
      <c r="B3" s="39"/>
      <c r="C3" s="39"/>
      <c r="D3" s="39"/>
      <c r="E3" s="39"/>
      <c r="F3" s="39"/>
      <c r="G3" s="13"/>
      <c r="H3" s="39" t="s">
        <v>53</v>
      </c>
      <c r="I3" s="39"/>
      <c r="J3" s="39"/>
      <c r="K3" s="39"/>
      <c r="L3" s="39"/>
      <c r="M3" s="39"/>
      <c r="N3" s="39"/>
    </row>
    <row r="4" spans="1:17" ht="66.75" customHeight="1" x14ac:dyDescent="0.25">
      <c r="A4" s="12" t="s">
        <v>63</v>
      </c>
      <c r="B4" s="12" t="s">
        <v>20</v>
      </c>
      <c r="C4" s="12" t="s">
        <v>57</v>
      </c>
      <c r="D4" s="12" t="s">
        <v>0</v>
      </c>
      <c r="E4" s="12" t="s">
        <v>21</v>
      </c>
      <c r="F4" s="12" t="s">
        <v>1</v>
      </c>
      <c r="G4" s="3"/>
      <c r="H4" s="12" t="s">
        <v>64</v>
      </c>
      <c r="I4" s="12" t="s">
        <v>34</v>
      </c>
      <c r="J4" s="12" t="s">
        <v>68</v>
      </c>
      <c r="K4" s="12" t="s">
        <v>59</v>
      </c>
      <c r="L4" s="12" t="s">
        <v>41</v>
      </c>
      <c r="M4" s="12" t="s">
        <v>5</v>
      </c>
      <c r="N4" s="12" t="s">
        <v>36</v>
      </c>
    </row>
    <row r="5" spans="1:17" x14ac:dyDescent="0.25">
      <c r="A5" s="6">
        <v>6</v>
      </c>
      <c r="B5" s="6">
        <v>4</v>
      </c>
      <c r="C5" s="6">
        <v>3</v>
      </c>
      <c r="D5" s="6">
        <v>6</v>
      </c>
      <c r="E5" s="6">
        <v>8</v>
      </c>
      <c r="F5" s="6">
        <v>6</v>
      </c>
      <c r="H5" s="6">
        <v>14</v>
      </c>
      <c r="I5" s="6">
        <v>32</v>
      </c>
      <c r="J5" s="6" t="s">
        <v>14</v>
      </c>
      <c r="K5" s="6">
        <v>0.25</v>
      </c>
      <c r="L5" s="6">
        <v>0.3125</v>
      </c>
      <c r="M5" s="6" t="s">
        <v>7</v>
      </c>
      <c r="N5" s="6" t="s">
        <v>39</v>
      </c>
    </row>
    <row r="6" spans="1:17" x14ac:dyDescent="0.25">
      <c r="A6" s="6">
        <v>10</v>
      </c>
      <c r="B6" s="6">
        <v>6</v>
      </c>
      <c r="C6" s="6">
        <v>5</v>
      </c>
      <c r="D6" s="6">
        <v>10</v>
      </c>
      <c r="E6" s="6">
        <v>12</v>
      </c>
      <c r="F6" s="6">
        <v>10</v>
      </c>
      <c r="M6" s="14">
        <f>IF(M5="Hardwood",3010,IF(M5="Poplar",4020,IF(M5="Basswood",4730,IF(M5="White Pine",4800,IF(M5="White Oak",7730,IF(M5="Birch",8540))))))</f>
        <v>3010</v>
      </c>
    </row>
    <row r="7" spans="1:17" ht="16.5" x14ac:dyDescent="0.3">
      <c r="A7" s="6">
        <v>14</v>
      </c>
      <c r="B7" s="6">
        <v>8</v>
      </c>
      <c r="C7" s="6">
        <v>7</v>
      </c>
      <c r="D7" s="6">
        <v>14</v>
      </c>
      <c r="E7" s="6">
        <v>16</v>
      </c>
      <c r="F7" s="6">
        <v>14</v>
      </c>
      <c r="I7" s="11" t="s">
        <v>52</v>
      </c>
      <c r="J7" s="11" t="s">
        <v>30</v>
      </c>
      <c r="K7" s="11" t="s">
        <v>31</v>
      </c>
      <c r="L7" s="11" t="s">
        <v>28</v>
      </c>
      <c r="M7" s="11" t="s">
        <v>26</v>
      </c>
      <c r="N7" s="11" t="s">
        <v>27</v>
      </c>
      <c r="O7" s="11"/>
      <c r="P7" s="11"/>
      <c r="Q7" s="11"/>
    </row>
    <row r="8" spans="1:17" ht="16.5" x14ac:dyDescent="0.3">
      <c r="A8" s="6">
        <v>18</v>
      </c>
      <c r="B8" s="6">
        <v>10</v>
      </c>
      <c r="C8" s="6">
        <v>9</v>
      </c>
      <c r="D8" s="6">
        <v>18</v>
      </c>
      <c r="E8" s="6">
        <v>20</v>
      </c>
      <c r="F8" s="6">
        <v>18</v>
      </c>
      <c r="H8" s="7" t="s">
        <v>3</v>
      </c>
      <c r="I8" s="16">
        <f>2*I5/(4+0.5*(H5-6))</f>
        <v>8</v>
      </c>
      <c r="J8" s="6">
        <f>2*(4+0.5*(H5-6))</f>
        <v>16</v>
      </c>
      <c r="K8" s="16">
        <f>I8*J8</f>
        <v>128</v>
      </c>
      <c r="L8" s="6">
        <f>ROUNDUP(K8/36,0)</f>
        <v>4</v>
      </c>
      <c r="M8" s="28">
        <f>IF(J5="Round",PI()*(0.5*K5)^2*M6,K5^2*M6)</f>
        <v>147.75302948914495</v>
      </c>
      <c r="N8" s="28">
        <f>L8*M8</f>
        <v>591.0121179565798</v>
      </c>
      <c r="P8" s="15"/>
    </row>
    <row r="9" spans="1:17" ht="16.5" x14ac:dyDescent="0.3">
      <c r="A9" s="6"/>
      <c r="B9" s="6"/>
      <c r="C9" s="6"/>
      <c r="D9" s="6"/>
      <c r="E9" s="6"/>
      <c r="F9" s="6"/>
      <c r="H9" s="7" t="s">
        <v>58</v>
      </c>
      <c r="I9" s="16">
        <f>SQRT(I8^2-I10^2)</f>
        <v>6.9282032302755088</v>
      </c>
      <c r="J9" s="6">
        <f>H5</f>
        <v>14</v>
      </c>
      <c r="K9" s="16">
        <f>I9*J9</f>
        <v>96.994845223857126</v>
      </c>
      <c r="L9" s="6">
        <f>ROUNDUP(K9/36,0)</f>
        <v>3</v>
      </c>
      <c r="M9" s="28">
        <f>IF(J5="Round",PI()*(0.5*K5)^2*M6,K5^2*M6)</f>
        <v>147.75302948914495</v>
      </c>
      <c r="N9" s="28">
        <f>L9*M9</f>
        <v>443.25908846743482</v>
      </c>
      <c r="P9" s="15"/>
    </row>
    <row r="10" spans="1:17" ht="16.5" x14ac:dyDescent="0.3">
      <c r="H10" s="7" t="s">
        <v>29</v>
      </c>
      <c r="I10" s="16">
        <f>I5/(4+0.5*(H5-6))</f>
        <v>4</v>
      </c>
      <c r="J10" s="6">
        <f>H5</f>
        <v>14</v>
      </c>
      <c r="K10" s="16">
        <f>I10*J10</f>
        <v>56</v>
      </c>
      <c r="L10" s="6">
        <f>ROUNDUP(K10/36,0)</f>
        <v>2</v>
      </c>
      <c r="M10" s="28">
        <f>L5^2*M6</f>
        <v>293.9453125</v>
      </c>
      <c r="N10" s="28">
        <f>L10*M10</f>
        <v>587.890625</v>
      </c>
    </row>
    <row r="11" spans="1:17" ht="16.5" x14ac:dyDescent="0.3">
      <c r="A11" s="6"/>
      <c r="H11" s="7" t="s">
        <v>1</v>
      </c>
      <c r="I11" s="16">
        <f>SQRT(I10^2+(I12/2)^2)</f>
        <v>4.8541219597368999</v>
      </c>
      <c r="J11" s="6">
        <f>H5</f>
        <v>14</v>
      </c>
      <c r="K11" s="16">
        <f>I11*J11</f>
        <v>67.957707436316596</v>
      </c>
      <c r="L11" s="6">
        <f>ROUNDUP(K11/36,0)</f>
        <v>2</v>
      </c>
      <c r="M11" s="28">
        <f>L5^2*M6</f>
        <v>293.9453125</v>
      </c>
      <c r="N11" s="28">
        <f>L11*M11</f>
        <v>587.890625</v>
      </c>
    </row>
    <row r="12" spans="1:17" ht="16.5" x14ac:dyDescent="0.3">
      <c r="A12" s="6"/>
      <c r="H12" s="7" t="s">
        <v>2</v>
      </c>
      <c r="I12" s="16">
        <f>IF(N5="3/8 X 4 1/2",4,IF(N5="3/4 X 6",5.5,IF(N5="15/16 X 8",7.5)))</f>
        <v>5.5</v>
      </c>
      <c r="J12" s="6">
        <f>H5+2</f>
        <v>16</v>
      </c>
      <c r="K12" s="16">
        <f>I12*J12</f>
        <v>88</v>
      </c>
      <c r="L12" s="6">
        <f>ROUNDUP(K12/36,0)</f>
        <v>3</v>
      </c>
      <c r="M12" s="28">
        <f>L5^2*M6</f>
        <v>293.9453125</v>
      </c>
      <c r="N12" s="28">
        <f>L12*M12</f>
        <v>881.8359375</v>
      </c>
    </row>
    <row r="13" spans="1:17" ht="16.5" x14ac:dyDescent="0.3">
      <c r="A13" s="6"/>
      <c r="H13" s="7" t="s">
        <v>55</v>
      </c>
      <c r="I13" s="31">
        <f>IF(N5="3/8 X 4 1/2",4.5,IF(N5="3/4 X 6",6,IF(N5="15/16 X 8",8)))</f>
        <v>6</v>
      </c>
      <c r="J13" s="6">
        <f>H5+2</f>
        <v>16</v>
      </c>
      <c r="K13" s="33" t="s">
        <v>60</v>
      </c>
      <c r="L13" s="32" t="s">
        <v>60</v>
      </c>
      <c r="M13" s="28">
        <f>IF(N5="3/8 X 4 1/2",'Wood-Cost'!H26,IF(N5="3/4 X 6",'Wood-Cost'!H27,IF(N5="15/16 X 8",'Wood-Cost'!H28)))</f>
        <v>22.5</v>
      </c>
      <c r="N13" s="28">
        <f>J13*M13</f>
        <v>360</v>
      </c>
    </row>
    <row r="14" spans="1:17" x14ac:dyDescent="0.25">
      <c r="A14" s="6"/>
      <c r="J14" s="6"/>
      <c r="K14" s="6"/>
      <c r="L14" s="6"/>
      <c r="M14" s="19" t="s">
        <v>42</v>
      </c>
      <c r="N14" s="29">
        <f>SUM(N8:N13)</f>
        <v>3451.8883939240145</v>
      </c>
    </row>
    <row r="15" spans="1:17" ht="15" customHeight="1" x14ac:dyDescent="0.25">
      <c r="A15" s="6"/>
      <c r="L15" t="s">
        <v>67</v>
      </c>
      <c r="M15" s="17"/>
      <c r="N15" s="17"/>
    </row>
    <row r="16" spans="1:17" ht="30" x14ac:dyDescent="0.25">
      <c r="A16" s="6"/>
      <c r="H16" s="20"/>
      <c r="I16" s="20"/>
      <c r="J16" s="24" t="s">
        <v>45</v>
      </c>
      <c r="K16" s="22" t="s">
        <v>46</v>
      </c>
      <c r="L16" s="22" t="s">
        <v>30</v>
      </c>
      <c r="M16" s="22" t="s">
        <v>32</v>
      </c>
      <c r="N16" s="22" t="s">
        <v>44</v>
      </c>
    </row>
    <row r="17" spans="1:14" x14ac:dyDescent="0.25">
      <c r="A17" s="6"/>
      <c r="H17" s="40" t="s">
        <v>50</v>
      </c>
      <c r="I17" s="40"/>
      <c r="J17" s="23">
        <f>IF(N5="3/8 X 4 1/2",3/8,IF(N5="3/4 X 6",3/4,IF(N5="15/16 X 8",15/16)))</f>
        <v>0.75</v>
      </c>
      <c r="K17" s="20">
        <f>I5</f>
        <v>32</v>
      </c>
      <c r="L17" s="25">
        <f>ROUND(K17/J17,0)</f>
        <v>43</v>
      </c>
      <c r="M17" s="30">
        <f>IF(N5="3/8 X 4 1/2",'Wood-Cost'!H26,IF(N5="3/4 X 6",'Wood-Cost'!H27,IF(N5="15/16 X 8",'Wood-Cost'!H28)))</f>
        <v>22.5</v>
      </c>
      <c r="N17" s="30">
        <f>L17*M17</f>
        <v>967.5</v>
      </c>
    </row>
    <row r="18" spans="1:14" x14ac:dyDescent="0.25">
      <c r="A18" s="6"/>
    </row>
    <row r="19" spans="1:14" x14ac:dyDescent="0.25">
      <c r="A19" s="6"/>
      <c r="M19" s="1" t="s">
        <v>51</v>
      </c>
      <c r="N19" s="29">
        <f>N14+N17</f>
        <v>4419.388393924015</v>
      </c>
    </row>
    <row r="20" spans="1:14" x14ac:dyDescent="0.25">
      <c r="N20" s="27"/>
    </row>
  </sheetData>
  <mergeCells count="4">
    <mergeCell ref="A1:N1"/>
    <mergeCell ref="A3:F3"/>
    <mergeCell ref="H17:I17"/>
    <mergeCell ref="H3:N3"/>
  </mergeCells>
  <dataValidations count="1">
    <dataValidation type="list" allowBlank="1" showInputMessage="1" showErrorMessage="1" sqref="H5">
      <formula1>$A$5:$A$8</formula1>
    </dataValidation>
  </dataValidations>
  <pageMargins left="0.45" right="0.45" top="0.75" bottom="0.75" header="0.3" footer="0.3"/>
  <pageSetup scale="80" orientation="landscape" verticalDpi="0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'Wood-Cost'!$J$31:$J$33</xm:f>
          </x14:formula1>
          <xm:sqref>N5</xm:sqref>
        </x14:dataValidation>
        <x14:dataValidation type="list" allowBlank="1" showInputMessage="1" showErrorMessage="1">
          <x14:formula1>
            <xm:f>'Wood-Cost'!$G$31:$G$36</xm:f>
          </x14:formula1>
          <xm:sqref>M5</xm:sqref>
        </x14:dataValidation>
        <x14:dataValidation type="list" allowBlank="1" showInputMessage="1" showErrorMessage="1">
          <x14:formula1>
            <xm:f>'Wood-Cost'!$D$31:$D$37</xm:f>
          </x14:formula1>
          <xm:sqref>K5:L5</xm:sqref>
        </x14:dataValidation>
        <x14:dataValidation type="list" allowBlank="1" showInputMessage="1" showErrorMessage="1">
          <x14:formula1>
            <xm:f>'Wood-Cost'!$F$31:$F$32</xm:f>
          </x14:formula1>
          <xm:sqref>J5</xm:sqref>
        </x14:dataValidation>
        <x14:dataValidation type="list" allowBlank="1" showInputMessage="1" showErrorMessage="1">
          <x14:formula1>
            <xm:f>'Wood-Cost'!$E$31:$E$45</xm:f>
          </x14:formula1>
          <xm:sqref>I5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Wood-Cost</vt:lpstr>
      <vt:lpstr>Warren</vt:lpstr>
      <vt:lpstr>Warren w-Verticals</vt:lpstr>
      <vt:lpstr>Pratt</vt:lpstr>
      <vt:lpstr>Howe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</dc:creator>
  <cp:lastModifiedBy>MigueL</cp:lastModifiedBy>
  <cp:lastPrinted>2019-08-05T23:53:12Z</cp:lastPrinted>
  <dcterms:created xsi:type="dcterms:W3CDTF">2019-07-28T12:43:46Z</dcterms:created>
  <dcterms:modified xsi:type="dcterms:W3CDTF">2019-08-05T23:58:23Z</dcterms:modified>
</cp:coreProperties>
</file>